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/>
  </bookViews>
  <sheets>
    <sheet name="Нормативные затраты 2024" sheetId="12" r:id="rId1"/>
  </sheets>
  <definedNames>
    <definedName name="_xlnm.Print_Titles" localSheetId="0">'Нормативные затраты 2024'!$7:$8</definedName>
  </definedNames>
  <calcPr calcId="124519"/>
</workbook>
</file>

<file path=xl/calcChain.xml><?xml version="1.0" encoding="utf-8"?>
<calcChain xmlns="http://schemas.openxmlformats.org/spreadsheetml/2006/main">
  <c r="I82" i="12"/>
  <c r="I109"/>
  <c r="I108"/>
  <c r="I107"/>
  <c r="I106"/>
  <c r="I105"/>
  <c r="I104"/>
  <c r="I103"/>
  <c r="I102"/>
  <c r="I101"/>
  <c r="J101" s="1"/>
  <c r="M101" s="1"/>
  <c r="I100"/>
  <c r="I99"/>
  <c r="I98"/>
  <c r="I97"/>
  <c r="I96"/>
  <c r="I95"/>
  <c r="I94"/>
  <c r="I93"/>
  <c r="J93" s="1"/>
  <c r="M93" s="1"/>
  <c r="I92"/>
  <c r="J92" s="1"/>
  <c r="M92" s="1"/>
  <c r="I91"/>
  <c r="I90"/>
  <c r="I89"/>
  <c r="I88"/>
  <c r="I87"/>
  <c r="I86"/>
  <c r="I85"/>
  <c r="I84"/>
  <c r="J84" s="1"/>
  <c r="M84" s="1"/>
  <c r="I83"/>
  <c r="I81"/>
  <c r="J81" s="1"/>
  <c r="M81" s="1"/>
  <c r="I80"/>
  <c r="I79"/>
  <c r="I78"/>
  <c r="J78" s="1"/>
  <c r="M78" s="1"/>
  <c r="I77"/>
  <c r="I76"/>
  <c r="I75"/>
  <c r="I74"/>
  <c r="I73"/>
  <c r="J73" s="1"/>
  <c r="M73" s="1"/>
  <c r="I72"/>
  <c r="I71"/>
  <c r="I70"/>
  <c r="J70" s="1"/>
  <c r="M70" s="1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J44" s="1"/>
  <c r="M44" s="1"/>
  <c r="I43"/>
  <c r="I42"/>
  <c r="I41"/>
  <c r="I40"/>
  <c r="I39"/>
  <c r="I38"/>
  <c r="I37"/>
  <c r="I36"/>
  <c r="I35"/>
  <c r="I34"/>
  <c r="I33"/>
  <c r="I32"/>
  <c r="I31"/>
  <c r="I30"/>
  <c r="I29"/>
  <c r="I28"/>
  <c r="J28" s="1"/>
  <c r="M28" s="1"/>
  <c r="I27"/>
  <c r="I26"/>
  <c r="I25"/>
  <c r="I24"/>
  <c r="I23"/>
  <c r="I22"/>
  <c r="I21"/>
  <c r="I20"/>
  <c r="I19"/>
  <c r="I18"/>
  <c r="I17"/>
  <c r="I16"/>
  <c r="I15"/>
  <c r="J15" s="1"/>
  <c r="M15" s="1"/>
  <c r="I14"/>
  <c r="I13"/>
  <c r="I12"/>
  <c r="J12" s="1"/>
  <c r="M12" s="1"/>
  <c r="I11"/>
  <c r="I10"/>
  <c r="I9"/>
  <c r="F109"/>
  <c r="F108"/>
  <c r="F107"/>
  <c r="F106"/>
  <c r="F105"/>
  <c r="F104"/>
  <c r="F103"/>
  <c r="F102"/>
  <c r="F101"/>
  <c r="F100"/>
  <c r="F99"/>
  <c r="F98"/>
  <c r="F97"/>
  <c r="F96"/>
  <c r="F95"/>
  <c r="F94"/>
  <c r="F91"/>
  <c r="F90"/>
  <c r="F89"/>
  <c r="F88"/>
  <c r="F87"/>
  <c r="F85"/>
  <c r="F86"/>
  <c r="J86" s="1"/>
  <c r="M86" s="1"/>
  <c r="F84"/>
  <c r="F83"/>
  <c r="F82"/>
  <c r="F81"/>
  <c r="F80"/>
  <c r="F79"/>
  <c r="F78"/>
  <c r="F77"/>
  <c r="F76"/>
  <c r="F75"/>
  <c r="F74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J22" s="1"/>
  <c r="M22" s="1"/>
  <c r="F21"/>
  <c r="F20"/>
  <c r="F19"/>
  <c r="F18"/>
  <c r="F17"/>
  <c r="F16"/>
  <c r="F15"/>
  <c r="F14"/>
  <c r="F13"/>
  <c r="F12"/>
  <c r="F11"/>
  <c r="F10"/>
  <c r="F9"/>
  <c r="H110"/>
  <c r="G110"/>
  <c r="H88"/>
  <c r="J107"/>
  <c r="M107" s="1"/>
  <c r="J18"/>
  <c r="M18" s="1"/>
  <c r="J21"/>
  <c r="M21" s="1"/>
  <c r="J24"/>
  <c r="M24" s="1"/>
  <c r="J31"/>
  <c r="M31" s="1"/>
  <c r="J34"/>
  <c r="M34" s="1"/>
  <c r="J37"/>
  <c r="M37" s="1"/>
  <c r="J40"/>
  <c r="M40" s="1"/>
  <c r="J47"/>
  <c r="M47" s="1"/>
  <c r="J50"/>
  <c r="M50" s="1"/>
  <c r="J53"/>
  <c r="M53" s="1"/>
  <c r="J60"/>
  <c r="M60" s="1"/>
  <c r="J63"/>
  <c r="M63" s="1"/>
  <c r="J66"/>
  <c r="M66" s="1"/>
  <c r="J90"/>
  <c r="M90" s="1"/>
  <c r="J95"/>
  <c r="M95" s="1"/>
  <c r="J98"/>
  <c r="M98" s="1"/>
  <c r="J109" l="1"/>
  <c r="M109" s="1"/>
  <c r="J108"/>
  <c r="M108" s="1"/>
  <c r="J106"/>
  <c r="M106" s="1"/>
  <c r="J105"/>
  <c r="M105" s="1"/>
  <c r="J104"/>
  <c r="M104" s="1"/>
  <c r="J103"/>
  <c r="M103" s="1"/>
  <c r="J102"/>
  <c r="M102" s="1"/>
  <c r="J100"/>
  <c r="M100" s="1"/>
  <c r="J99"/>
  <c r="M99" s="1"/>
  <c r="J97"/>
  <c r="M97" s="1"/>
  <c r="J96"/>
  <c r="M96" s="1"/>
  <c r="J94"/>
  <c r="M94" s="1"/>
  <c r="J91"/>
  <c r="M91" s="1"/>
  <c r="J89"/>
  <c r="M89" s="1"/>
  <c r="J87"/>
  <c r="M87" s="1"/>
  <c r="J85"/>
  <c r="M85" s="1"/>
  <c r="J83"/>
  <c r="M83" s="1"/>
  <c r="J82"/>
  <c r="M82" s="1"/>
  <c r="J80"/>
  <c r="M80" s="1"/>
  <c r="J79"/>
  <c r="M79" s="1"/>
  <c r="J77"/>
  <c r="M77" s="1"/>
  <c r="J76"/>
  <c r="M76" s="1"/>
  <c r="J75"/>
  <c r="M75" s="1"/>
  <c r="J74"/>
  <c r="M74" s="1"/>
  <c r="J72"/>
  <c r="M72" s="1"/>
  <c r="J71"/>
  <c r="M71" s="1"/>
  <c r="J69"/>
  <c r="M69" s="1"/>
  <c r="J68"/>
  <c r="M68" s="1"/>
  <c r="J67"/>
  <c r="M67" s="1"/>
  <c r="J65"/>
  <c r="M65" s="1"/>
  <c r="J64"/>
  <c r="M64" s="1"/>
  <c r="J62"/>
  <c r="M62" s="1"/>
  <c r="J61"/>
  <c r="M61" s="1"/>
  <c r="J59"/>
  <c r="M59" s="1"/>
  <c r="J58"/>
  <c r="M58" s="1"/>
  <c r="J57"/>
  <c r="M57" s="1"/>
  <c r="J56"/>
  <c r="M56" s="1"/>
  <c r="J55"/>
  <c r="M55" s="1"/>
  <c r="J54"/>
  <c r="M54" s="1"/>
  <c r="J52"/>
  <c r="M52" s="1"/>
  <c r="J51"/>
  <c r="M51" s="1"/>
  <c r="J49"/>
  <c r="M49" s="1"/>
  <c r="J48"/>
  <c r="M48" s="1"/>
  <c r="J46"/>
  <c r="M46" s="1"/>
  <c r="J45"/>
  <c r="M45" s="1"/>
  <c r="J43"/>
  <c r="M43" s="1"/>
  <c r="J42"/>
  <c r="M42" s="1"/>
  <c r="J41"/>
  <c r="M41" s="1"/>
  <c r="J39"/>
  <c r="M39" s="1"/>
  <c r="J38"/>
  <c r="M38" s="1"/>
  <c r="J36"/>
  <c r="M36" s="1"/>
  <c r="J35"/>
  <c r="M35" s="1"/>
  <c r="J33"/>
  <c r="M33" s="1"/>
  <c r="J32"/>
  <c r="M32" s="1"/>
  <c r="J30"/>
  <c r="M30" s="1"/>
  <c r="J29"/>
  <c r="M29" s="1"/>
  <c r="J27"/>
  <c r="M27" s="1"/>
  <c r="J26"/>
  <c r="M26" s="1"/>
  <c r="J25"/>
  <c r="M25" s="1"/>
  <c r="J23"/>
  <c r="M23" s="1"/>
  <c r="J20"/>
  <c r="M20" s="1"/>
  <c r="J19"/>
  <c r="M19" s="1"/>
  <c r="J17"/>
  <c r="M17" s="1"/>
  <c r="J16"/>
  <c r="M16" s="1"/>
  <c r="J14"/>
  <c r="M14" s="1"/>
  <c r="J13"/>
  <c r="M13" s="1"/>
  <c r="J11"/>
  <c r="M11" s="1"/>
  <c r="I110"/>
  <c r="J10"/>
  <c r="M10" s="1"/>
  <c r="J9"/>
  <c r="F110"/>
  <c r="J88"/>
  <c r="M88" s="1"/>
  <c r="M9"/>
  <c r="J110" l="1"/>
</calcChain>
</file>

<file path=xl/sharedStrings.xml><?xml version="1.0" encoding="utf-8"?>
<sst xmlns="http://schemas.openxmlformats.org/spreadsheetml/2006/main" count="232" uniqueCount="129">
  <si>
    <t>N п/п</t>
  </si>
  <si>
    <t>Наименование муниципальной работы</t>
  </si>
  <si>
    <t>Содержание работы</t>
  </si>
  <si>
    <t>Затраты на оплату труда и начисления на выплаты по оплате труда</t>
  </si>
  <si>
    <t>Итого затраты на выполнение работ</t>
  </si>
  <si>
    <t>по бюджету</t>
  </si>
  <si>
    <t>руб.</t>
  </si>
  <si>
    <t>Иные нормативные затраты непосредственно связанные с оказанием услуги (работы)</t>
  </si>
  <si>
    <t>Затраты на приобретение материальных запасов</t>
  </si>
  <si>
    <t>Затраты на общехозяйственные нужды</t>
  </si>
  <si>
    <t>Количество единиц (объем) ввыполнения работ</t>
  </si>
  <si>
    <t>Норматив затрат на выполнение работы</t>
  </si>
  <si>
    <t>единиц</t>
  </si>
  <si>
    <t>шт</t>
  </si>
  <si>
    <t>м</t>
  </si>
  <si>
    <t>Итого:</t>
  </si>
  <si>
    <t>к приказу комитета городского хозяйства                                            администрации города Ставрополя</t>
  </si>
  <si>
    <t xml:space="preserve">Осуществление мероприятий по обеспечению безопасности дорожного движения на автомобильных дорогах общего пользования при осуществлении дорожной деятельности  </t>
  </si>
  <si>
    <t>техническое обслуживание светофорных объектов         (месячное  обслуживание)</t>
  </si>
  <si>
    <t>техническое обслуживание светофорных объектов (квартальное обслуживание)</t>
  </si>
  <si>
    <t>техническое обслуживание светофорных объектов (полугодовое обслуживание)</t>
  </si>
  <si>
    <t>техническое обслуживание светофора (транспортного       светофора)</t>
  </si>
  <si>
    <t>техническое обслуживание светофора (пешеходного       светофора)</t>
  </si>
  <si>
    <t>обслуживание контроллера</t>
  </si>
  <si>
    <t>окраска колонки светофорной с цоколем</t>
  </si>
  <si>
    <t>окраска шкафов-контроллеров</t>
  </si>
  <si>
    <t>окраска коробки кабельной</t>
  </si>
  <si>
    <t>окраска шкафа учета электроэнергии</t>
  </si>
  <si>
    <t>квартальное техническое обслуживание координатора системы</t>
  </si>
  <si>
    <t>квартальное техническое обслуживание автоматического переключателя (транскодера)</t>
  </si>
  <si>
    <t xml:space="preserve">поперечины из троса, длина до 30 м
</t>
  </si>
  <si>
    <t>замена ремонтного светофора</t>
  </si>
  <si>
    <t>замена ремонтного светодиодного блока</t>
  </si>
  <si>
    <t>замена светодиодного блока транспортного светофора</t>
  </si>
  <si>
    <t>замена светодиодного блока пешеходного светофора</t>
  </si>
  <si>
    <t>устройство коробки (ящика) с зажимами для кабелей и проводов</t>
  </si>
  <si>
    <t>установка устройства звукового сопровождения (УЗСП)</t>
  </si>
  <si>
    <t>программирование сетевого элемента и отладка его работы</t>
  </si>
  <si>
    <t xml:space="preserve">замена стойки металлической с бетонированием,
с использованием трубы d-76 мм длиной 5,5 м
</t>
  </si>
  <si>
    <t xml:space="preserve">замена стойки металлической с бетонированием,
с использованием трубы d-108 мм длиной 7,8 м
</t>
  </si>
  <si>
    <t>замена шкафа учета электроэнергии</t>
  </si>
  <si>
    <t>замена табло вызова пешехода</t>
  </si>
  <si>
    <t xml:space="preserve">замена ремонтного табло вызова пешехода
</t>
  </si>
  <si>
    <t xml:space="preserve">замена светофора Т-7
</t>
  </si>
  <si>
    <t xml:space="preserve">подключение модуля связи
</t>
  </si>
  <si>
    <t xml:space="preserve">установка табло «Ждите»-«Идите»
</t>
  </si>
  <si>
    <t xml:space="preserve">установка комплекта связи для УК 4.1
</t>
  </si>
  <si>
    <t xml:space="preserve">замена блока ключей УК 4.1
</t>
  </si>
  <si>
    <t xml:space="preserve">выравнивание стойки транспортной d-114 мм
</t>
  </si>
  <si>
    <t xml:space="preserve">выравнивание стойки транспортной d-76 мм
</t>
  </si>
  <si>
    <t xml:space="preserve">установка световозвращающего знака (2 типоразмера)
</t>
  </si>
  <si>
    <t xml:space="preserve">установка световозвращающего знака (3 типоразмера)
</t>
  </si>
  <si>
    <t xml:space="preserve">установка световозвращающего знака (табличка)
</t>
  </si>
  <si>
    <t xml:space="preserve">установка стоек металлических с бетонированием 
с применением трубы d-76 мм, длиной 4,5 м
</t>
  </si>
  <si>
    <t xml:space="preserve">установка кронштейнов с применением трубы d-57 мм
длиной 1,5 м
</t>
  </si>
  <si>
    <t xml:space="preserve">техническое обслуживание плоских дорожных знаков со световозвращающей поверхностью
</t>
  </si>
  <si>
    <t xml:space="preserve">окраска стойки
</t>
  </si>
  <si>
    <t xml:space="preserve">замена плоского знака (знак 3 типоразмера)
</t>
  </si>
  <si>
    <t xml:space="preserve">замена плоского знака (знак 2 типоразмера)
</t>
  </si>
  <si>
    <t xml:space="preserve">замена плоского знака (табличка)
</t>
  </si>
  <si>
    <t xml:space="preserve">демонтаж плоского знака
</t>
  </si>
  <si>
    <t xml:space="preserve">замена кронштейна с применением трубы d-57 мм
длиной 1,5 м
</t>
  </si>
  <si>
    <t xml:space="preserve">замена кронштейна с применением трубы d-57 мм
длиной 1,2 м и уголка 0,35х0,35 длиной 0,3 м
</t>
  </si>
  <si>
    <t xml:space="preserve">замена стойки металлической с бетонированием 
с использованием трубы d-76 мм длиной 4,5 м
</t>
  </si>
  <si>
    <t xml:space="preserve">реставрация дорожных знаков
</t>
  </si>
  <si>
    <t xml:space="preserve">расстановка временных дорожных знаков
</t>
  </si>
  <si>
    <t xml:space="preserve">обеспечение видимости технических средств организации дорожного движения (ТСОДД) (обрезка веток)
</t>
  </si>
  <si>
    <t xml:space="preserve">установка сферического дорожного зеркала
</t>
  </si>
  <si>
    <t xml:space="preserve">техническое обслуживание и содержание центра организации дорожного движения
</t>
  </si>
  <si>
    <t xml:space="preserve">ремонт стойки (мелкий)
</t>
  </si>
  <si>
    <t xml:space="preserve">нанесение дорожной разметки краской
</t>
  </si>
  <si>
    <t xml:space="preserve">установка искусственной дорожной неровности (ИДН)
</t>
  </si>
  <si>
    <t xml:space="preserve">замена искусственной дорожной неровности
</t>
  </si>
  <si>
    <t xml:space="preserve">демонтаж искусственной дорожной неровности
</t>
  </si>
  <si>
    <t xml:space="preserve">замена кабеля до 35, подвешиваемого на тросе, масса 1 м кабеля до 1 кг (КВВГ 5х1)
</t>
  </si>
  <si>
    <t xml:space="preserve">замена кабеля до 35, подвешиваемого на тросе, масса 1 м кабеля до 1 кг (КВВГ 7х1)
</t>
  </si>
  <si>
    <t xml:space="preserve">замена кабеля до 35, подвешиваемого на тросе, масса 1 м кабеля до 1 кг (КВВГ 10х1)
</t>
  </si>
  <si>
    <t xml:space="preserve">замена кабеля до 35, подвешиваемого на тросе, масса 1 м кабеля до 1 кг (КВВГ 14х1)
</t>
  </si>
  <si>
    <t xml:space="preserve">замена кабеля до 35, подвешиваемого на тросе, масса 1 м кабеля до 1 кг (КВВГ 19х1)
</t>
  </si>
  <si>
    <t>прокладка труб гофрированных ПВХ для защиты проводов и кабелей, с использованием трубы d-20 мм</t>
  </si>
  <si>
    <t>прокладка труб гофрированных ПВХ для защиты проводов и кабелей, с использованием трубы d-25 мм</t>
  </si>
  <si>
    <t>Организация освещения улиц</t>
  </si>
  <si>
    <t xml:space="preserve">замена блока питания </t>
  </si>
  <si>
    <t xml:space="preserve">окраска металлических элементов 
(«Салют», въездных групп) 
</t>
  </si>
  <si>
    <t>капитальный ремонт элемента праздничной иллюминации «Салют»</t>
  </si>
  <si>
    <t>замена светодиодной ленты</t>
  </si>
  <si>
    <t xml:space="preserve">замена светодиодной ленты (декоративных уличных светильников) </t>
  </si>
  <si>
    <t>техническое обслуживание и текущий ремонт светофоров, дорожных знаков и других элементов используемых при организации дорожного движения</t>
  </si>
  <si>
    <t xml:space="preserve">замена провода ПВС 2*1,5
</t>
  </si>
  <si>
    <t>м²</t>
  </si>
  <si>
    <t>cодержание и ремонт других элементов используемых при организации дорожного движения</t>
  </si>
  <si>
    <t>техническое обслуживание элементов, используемых при организации дорожного движения</t>
  </si>
  <si>
    <t>содержание элементов праздничной иллюминации, въездных групп и декоративных уличных светильников</t>
  </si>
  <si>
    <t xml:space="preserve">  Расчет нормативных затрат на выполнение муниципальных работ муниципального бюджетного учреждения «Трансигнал» на 2024 год</t>
  </si>
  <si>
    <t>замена транспортного светофора</t>
  </si>
  <si>
    <t>замена пешеходного светофора</t>
  </si>
  <si>
    <t xml:space="preserve">замена дополнительной секции светофора
</t>
  </si>
  <si>
    <t>замена самонесущих изолированных проводов (СИП-2А), 1 м</t>
  </si>
  <si>
    <t xml:space="preserve">ремонт контура заземления
</t>
  </si>
  <si>
    <t>замена шкафа для блока управления</t>
  </si>
  <si>
    <t>установка антенны для связи</t>
  </si>
  <si>
    <t xml:space="preserve">установка дополнительной секции светофора
</t>
  </si>
  <si>
    <t xml:space="preserve">окраска кронштейна </t>
  </si>
  <si>
    <t>текущий ремонт элементов праздничной иллюминации, 
въездных групп и  декоративных уличных светильников</t>
  </si>
  <si>
    <t>установка дорожного проектора</t>
  </si>
  <si>
    <t>от «____» __________ 2024 г. №____</t>
  </si>
  <si>
    <t>замена камеры видеонаблюдения</t>
  </si>
  <si>
    <t>замена детектора транспорта</t>
  </si>
  <si>
    <t>замена микрокомпьютера</t>
  </si>
  <si>
    <t>замена сетевого коммутатора</t>
  </si>
  <si>
    <t>замена грозозащиты</t>
  </si>
  <si>
    <t>замена контроллера Синтез-Д</t>
  </si>
  <si>
    <t>замена шкафа для контроллера Синтез-Д</t>
  </si>
  <si>
    <t>замена контактора модульного</t>
  </si>
  <si>
    <t>замена Ethernet реле</t>
  </si>
  <si>
    <t xml:space="preserve">помывка системы видеодетектора транспорта </t>
  </si>
  <si>
    <t>помывка дорожного информационного табло</t>
  </si>
  <si>
    <t>замена кабеля для промышленного интерфейса</t>
  </si>
  <si>
    <t>замена кабеля UTP</t>
  </si>
  <si>
    <t>замена кабеля F/UTP</t>
  </si>
  <si>
    <t>строительство светофорного объекта</t>
  </si>
  <si>
    <t>ремонт светофорной колонки d-76 мм, с заменой трубы d-76 длиной 1,5 м</t>
  </si>
  <si>
    <t>ремонт светофорной колонки d-114 мм, с заменой трубы d-114 длиной 1,5 м</t>
  </si>
  <si>
    <t>техническое обслуживание светофора (дополнительной секции)</t>
  </si>
  <si>
    <t xml:space="preserve">установка  кронштейнов с применением трубы d-57 мм длиной 1,2 м и уголка 35х35 длиной 0,3 м
</t>
  </si>
  <si>
    <t xml:space="preserve">ремонт стойки металлической с заменой трубы  d-76 мм длиной 0,6 м или трубы d-57 мм длиной 0,6 м
</t>
  </si>
  <si>
    <t>нанесение линий дорожной разметки пластиками (холодным пластиком)</t>
  </si>
  <si>
    <t>нанесение линий дорожной разметки пластиками (термопластиком)</t>
  </si>
  <si>
    <t>Приложение 1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</si>
</sst>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5">
    <xf numFmtId="0" fontId="0" fillId="0" borderId="0" xfId="0"/>
    <xf numFmtId="0" fontId="3" fillId="0" borderId="0" xfId="1"/>
    <xf numFmtId="0" fontId="1" fillId="0" borderId="0" xfId="1" applyFont="1"/>
    <xf numFmtId="4" fontId="3" fillId="0" borderId="0" xfId="1" applyNumberForma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2" fillId="0" borderId="0" xfId="1" applyFont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0" xfId="1" applyFont="1"/>
    <xf numFmtId="0" fontId="1" fillId="0" borderId="0" xfId="0" applyFo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7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4" fontId="1" fillId="0" borderId="1" xfId="1" applyNumberFormat="1" applyFont="1" applyFill="1" applyBorder="1" applyAlignment="1">
      <alignment horizontal="center" wrapText="1"/>
    </xf>
    <xf numFmtId="4" fontId="4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B1:P114"/>
  <sheetViews>
    <sheetView tabSelected="1" topLeftCell="E1" zoomScale="80" zoomScaleNormal="80" workbookViewId="0">
      <selection activeCell="N6" sqref="N6"/>
    </sheetView>
  </sheetViews>
  <sheetFormatPr defaultRowHeight="12.75"/>
  <cols>
    <col min="1" max="1" width="0.7109375" style="1" customWidth="1"/>
    <col min="2" max="2" width="3.7109375" style="1" customWidth="1"/>
    <col min="3" max="3" width="14.42578125" style="1" customWidth="1"/>
    <col min="4" max="4" width="22.85546875" style="1" customWidth="1"/>
    <col min="5" max="5" width="48.140625" style="1" customWidth="1"/>
    <col min="6" max="6" width="14.28515625" style="1" customWidth="1"/>
    <col min="7" max="7" width="12.140625" style="1" customWidth="1"/>
    <col min="8" max="8" width="13.42578125" style="1" customWidth="1"/>
    <col min="9" max="9" width="15.28515625" style="1" bestFit="1" customWidth="1"/>
    <col min="10" max="10" width="13.5703125" style="1" customWidth="1"/>
    <col min="11" max="11" width="4.42578125" style="1" customWidth="1"/>
    <col min="12" max="12" width="11.28515625" style="1" customWidth="1"/>
    <col min="13" max="13" width="12.42578125" style="1" bestFit="1" customWidth="1"/>
    <col min="14" max="16384" width="9.140625" style="1"/>
  </cols>
  <sheetData>
    <row r="1" spans="2:16" ht="21" customHeight="1"/>
    <row r="2" spans="2:16" ht="15.75">
      <c r="G2" s="4"/>
      <c r="H2" s="4"/>
      <c r="I2" s="36" t="s">
        <v>128</v>
      </c>
      <c r="J2" s="36"/>
      <c r="K2" s="36"/>
      <c r="L2" s="36"/>
      <c r="M2" s="36"/>
    </row>
    <row r="3" spans="2:16" ht="15.75">
      <c r="G3" s="4"/>
      <c r="H3" s="4"/>
      <c r="I3" s="5"/>
      <c r="J3" s="5"/>
      <c r="K3" s="5"/>
      <c r="L3" s="5"/>
      <c r="M3" s="5"/>
    </row>
    <row r="4" spans="2:16" ht="30" customHeight="1">
      <c r="B4" s="2"/>
      <c r="C4" s="2"/>
      <c r="D4" s="2"/>
      <c r="E4" s="2"/>
      <c r="G4" s="6"/>
      <c r="H4" s="6"/>
      <c r="I4" s="37" t="s">
        <v>16</v>
      </c>
      <c r="J4" s="37"/>
      <c r="K4" s="37"/>
      <c r="L4" s="37"/>
      <c r="M4" s="37"/>
    </row>
    <row r="5" spans="2:16" ht="29.25" customHeight="1">
      <c r="B5" s="2"/>
      <c r="C5" s="2"/>
      <c r="D5" s="2"/>
      <c r="E5" s="2"/>
      <c r="G5" s="6"/>
      <c r="H5" s="6"/>
      <c r="I5" s="37" t="s">
        <v>105</v>
      </c>
      <c r="J5" s="37"/>
      <c r="K5" s="37"/>
      <c r="L5" s="37"/>
      <c r="M5" s="37"/>
    </row>
    <row r="6" spans="2:16" ht="44.25" customHeight="1">
      <c r="B6" s="19" t="s">
        <v>93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6" ht="117" customHeight="1">
      <c r="B7" s="7" t="s">
        <v>0</v>
      </c>
      <c r="C7" s="7" t="s">
        <v>1</v>
      </c>
      <c r="D7" s="20" t="s">
        <v>2</v>
      </c>
      <c r="E7" s="21"/>
      <c r="F7" s="7" t="s">
        <v>3</v>
      </c>
      <c r="G7" s="7" t="s">
        <v>7</v>
      </c>
      <c r="H7" s="7" t="s">
        <v>8</v>
      </c>
      <c r="I7" s="7" t="s">
        <v>9</v>
      </c>
      <c r="J7" s="7" t="s">
        <v>4</v>
      </c>
      <c r="K7" s="22" t="s">
        <v>10</v>
      </c>
      <c r="L7" s="23"/>
      <c r="M7" s="7" t="s">
        <v>11</v>
      </c>
    </row>
    <row r="8" spans="2:16" ht="26.25" customHeight="1">
      <c r="B8" s="7"/>
      <c r="C8" s="7"/>
      <c r="D8" s="7"/>
      <c r="E8" s="8"/>
      <c r="F8" s="7" t="s">
        <v>6</v>
      </c>
      <c r="G8" s="7" t="s">
        <v>6</v>
      </c>
      <c r="H8" s="7" t="s">
        <v>6</v>
      </c>
      <c r="I8" s="7" t="s">
        <v>6</v>
      </c>
      <c r="J8" s="7" t="s">
        <v>6</v>
      </c>
      <c r="K8" s="7" t="s">
        <v>12</v>
      </c>
      <c r="L8" s="13" t="s">
        <v>5</v>
      </c>
      <c r="M8" s="7" t="s">
        <v>6</v>
      </c>
    </row>
    <row r="9" spans="2:16" ht="25.5" customHeight="1">
      <c r="B9" s="30">
        <v>1</v>
      </c>
      <c r="C9" s="33" t="s">
        <v>17</v>
      </c>
      <c r="D9" s="33" t="s">
        <v>87</v>
      </c>
      <c r="E9" s="9" t="s">
        <v>18</v>
      </c>
      <c r="F9" s="11">
        <f>4532121.52+25790.4</f>
        <v>4557911.92</v>
      </c>
      <c r="G9" s="11">
        <v>0</v>
      </c>
      <c r="H9" s="39">
        <v>95520</v>
      </c>
      <c r="I9" s="11">
        <f>273123.52+16397.6</f>
        <v>289521.12</v>
      </c>
      <c r="J9" s="11">
        <f>F9+G9+H9+I9</f>
        <v>4942953.04</v>
      </c>
      <c r="K9" s="42" t="s">
        <v>13</v>
      </c>
      <c r="L9" s="43">
        <v>1592</v>
      </c>
      <c r="M9" s="43">
        <f>J9/L9</f>
        <v>3104.87</v>
      </c>
      <c r="P9" s="3"/>
    </row>
    <row r="10" spans="2:16" ht="25.5" customHeight="1">
      <c r="B10" s="31"/>
      <c r="C10" s="34"/>
      <c r="D10" s="34"/>
      <c r="E10" s="9" t="s">
        <v>19</v>
      </c>
      <c r="F10" s="11">
        <f>657655.2+6447.6</f>
        <v>664102.79999999993</v>
      </c>
      <c r="G10" s="11">
        <v>0</v>
      </c>
      <c r="H10" s="39">
        <v>47760</v>
      </c>
      <c r="I10" s="11">
        <f>99710.94+4099.4</f>
        <v>103810.34</v>
      </c>
      <c r="J10" s="11">
        <f t="shared" ref="J10:J65" si="0">F10+G10+H10+I10</f>
        <v>815673.1399999999</v>
      </c>
      <c r="K10" s="42" t="s">
        <v>13</v>
      </c>
      <c r="L10" s="44">
        <v>398</v>
      </c>
      <c r="M10" s="43">
        <f t="shared" ref="M10:M65" si="1">J10/L10</f>
        <v>2049.4299999999998</v>
      </c>
      <c r="P10" s="3"/>
    </row>
    <row r="11" spans="2:16" ht="25.5" customHeight="1">
      <c r="B11" s="31"/>
      <c r="C11" s="34"/>
      <c r="D11" s="34"/>
      <c r="E11" s="9" t="s">
        <v>20</v>
      </c>
      <c r="F11" s="11">
        <f>257904+6447.6</f>
        <v>264351.59999999998</v>
      </c>
      <c r="G11" s="11">
        <v>0</v>
      </c>
      <c r="H11" s="39">
        <v>23880</v>
      </c>
      <c r="I11" s="11">
        <f>18327.9+4099.4</f>
        <v>22427.300000000003</v>
      </c>
      <c r="J11" s="11">
        <f t="shared" si="0"/>
        <v>310658.89999999997</v>
      </c>
      <c r="K11" s="42" t="s">
        <v>13</v>
      </c>
      <c r="L11" s="44">
        <v>398</v>
      </c>
      <c r="M11" s="43">
        <f t="shared" si="1"/>
        <v>780.55</v>
      </c>
      <c r="P11" s="3"/>
    </row>
    <row r="12" spans="2:16" ht="25.5" customHeight="1">
      <c r="B12" s="31"/>
      <c r="C12" s="34"/>
      <c r="D12" s="34"/>
      <c r="E12" s="9" t="s">
        <v>21</v>
      </c>
      <c r="F12" s="11">
        <f>816065.33+21173.4</f>
        <v>837238.73</v>
      </c>
      <c r="G12" s="11">
        <v>0</v>
      </c>
      <c r="H12" s="39">
        <v>34504.800000000003</v>
      </c>
      <c r="I12" s="11">
        <f>17016.47+13462.1</f>
        <v>30478.57</v>
      </c>
      <c r="J12" s="11">
        <f t="shared" si="0"/>
        <v>902222.1</v>
      </c>
      <c r="K12" s="42" t="s">
        <v>13</v>
      </c>
      <c r="L12" s="44">
        <v>1307</v>
      </c>
      <c r="M12" s="43">
        <f t="shared" si="1"/>
        <v>690.3</v>
      </c>
      <c r="P12" s="3"/>
    </row>
    <row r="13" spans="2:16" ht="25.5" customHeight="1">
      <c r="B13" s="31"/>
      <c r="C13" s="34"/>
      <c r="D13" s="34"/>
      <c r="E13" s="9" t="s">
        <v>22</v>
      </c>
      <c r="F13" s="11">
        <f>233702.4+17625.6</f>
        <v>251328</v>
      </c>
      <c r="G13" s="11">
        <v>0</v>
      </c>
      <c r="H13" s="39">
        <v>32640</v>
      </c>
      <c r="I13" s="11">
        <f>215870.08+11206.4</f>
        <v>227076.47999999998</v>
      </c>
      <c r="J13" s="11">
        <f t="shared" si="0"/>
        <v>511044.48</v>
      </c>
      <c r="K13" s="42" t="s">
        <v>13</v>
      </c>
      <c r="L13" s="44">
        <v>1088</v>
      </c>
      <c r="M13" s="43">
        <f>J13/L13</f>
        <v>469.71</v>
      </c>
      <c r="P13" s="3"/>
    </row>
    <row r="14" spans="2:16" ht="25.5" customHeight="1">
      <c r="B14" s="31"/>
      <c r="C14" s="34"/>
      <c r="D14" s="34"/>
      <c r="E14" s="9" t="s">
        <v>123</v>
      </c>
      <c r="F14" s="11">
        <f>18745.2+1992.6</f>
        <v>20737.8</v>
      </c>
      <c r="G14" s="11">
        <v>0</v>
      </c>
      <c r="H14" s="39">
        <v>3690</v>
      </c>
      <c r="I14" s="11">
        <f>4099.59+1266.9</f>
        <v>5366.49</v>
      </c>
      <c r="J14" s="11">
        <f t="shared" si="0"/>
        <v>29794.29</v>
      </c>
      <c r="K14" s="42" t="s">
        <v>13</v>
      </c>
      <c r="L14" s="44">
        <v>123</v>
      </c>
      <c r="M14" s="43">
        <f t="shared" si="1"/>
        <v>242.23000000000002</v>
      </c>
      <c r="P14" s="3"/>
    </row>
    <row r="15" spans="2:16" ht="14.1" customHeight="1">
      <c r="B15" s="31"/>
      <c r="C15" s="34"/>
      <c r="D15" s="34"/>
      <c r="E15" s="9" t="s">
        <v>23</v>
      </c>
      <c r="F15" s="11">
        <f>2071161.42+2932.2</f>
        <v>2074093.6199999999</v>
      </c>
      <c r="G15" s="11">
        <v>0</v>
      </c>
      <c r="H15" s="39">
        <v>185727.44</v>
      </c>
      <c r="I15" s="11">
        <f>3175469.57+1864.3</f>
        <v>3177333.8699999996</v>
      </c>
      <c r="J15" s="11">
        <f t="shared" si="0"/>
        <v>5437154.9299999997</v>
      </c>
      <c r="K15" s="42" t="s">
        <v>13</v>
      </c>
      <c r="L15" s="44">
        <v>181</v>
      </c>
      <c r="M15" s="43">
        <f t="shared" si="1"/>
        <v>30039.53</v>
      </c>
      <c r="P15" s="3"/>
    </row>
    <row r="16" spans="2:16" ht="14.1" customHeight="1">
      <c r="B16" s="31"/>
      <c r="C16" s="34"/>
      <c r="D16" s="34"/>
      <c r="E16" s="9" t="s">
        <v>24</v>
      </c>
      <c r="F16" s="11">
        <f>113448+13203</f>
        <v>126651</v>
      </c>
      <c r="G16" s="11">
        <v>0</v>
      </c>
      <c r="H16" s="39">
        <v>46944</v>
      </c>
      <c r="I16" s="11">
        <f>924544.15+8394.5</f>
        <v>932938.65</v>
      </c>
      <c r="J16" s="11">
        <f t="shared" si="0"/>
        <v>1106533.6499999999</v>
      </c>
      <c r="K16" s="42" t="s">
        <v>13</v>
      </c>
      <c r="L16" s="44">
        <v>815</v>
      </c>
      <c r="M16" s="43">
        <f t="shared" si="1"/>
        <v>1357.7099999999998</v>
      </c>
      <c r="P16" s="3"/>
    </row>
    <row r="17" spans="2:16" ht="14.1" customHeight="1">
      <c r="B17" s="31"/>
      <c r="C17" s="34"/>
      <c r="D17" s="34"/>
      <c r="E17" s="9" t="s">
        <v>25</v>
      </c>
      <c r="F17" s="11">
        <f>10642.8+2932.2</f>
        <v>13575</v>
      </c>
      <c r="G17" s="11">
        <v>0</v>
      </c>
      <c r="H17" s="39">
        <v>7602</v>
      </c>
      <c r="I17" s="11">
        <f>23463.03+1864.3</f>
        <v>25327.329999999998</v>
      </c>
      <c r="J17" s="11">
        <f t="shared" si="0"/>
        <v>46504.33</v>
      </c>
      <c r="K17" s="42" t="s">
        <v>13</v>
      </c>
      <c r="L17" s="44">
        <v>181</v>
      </c>
      <c r="M17" s="43">
        <f t="shared" si="1"/>
        <v>256.93</v>
      </c>
      <c r="P17" s="3"/>
    </row>
    <row r="18" spans="2:16" ht="14.1" customHeight="1">
      <c r="B18" s="31"/>
      <c r="C18" s="34"/>
      <c r="D18" s="34"/>
      <c r="E18" s="9" t="s">
        <v>26</v>
      </c>
      <c r="F18" s="11">
        <f>27549.6+14304.6</f>
        <v>41854.199999999997</v>
      </c>
      <c r="G18" s="11">
        <v>0</v>
      </c>
      <c r="H18" s="39">
        <v>9536.4</v>
      </c>
      <c r="I18" s="11">
        <f>67628.97+9094.9</f>
        <v>76723.87</v>
      </c>
      <c r="J18" s="11">
        <f t="shared" si="0"/>
        <v>128114.47</v>
      </c>
      <c r="K18" s="42" t="s">
        <v>13</v>
      </c>
      <c r="L18" s="44">
        <v>883</v>
      </c>
      <c r="M18" s="43">
        <f t="shared" si="1"/>
        <v>145.09</v>
      </c>
      <c r="P18" s="3"/>
    </row>
    <row r="19" spans="2:16" ht="14.1" customHeight="1">
      <c r="B19" s="31"/>
      <c r="C19" s="34"/>
      <c r="D19" s="34"/>
      <c r="E19" s="9" t="s">
        <v>27</v>
      </c>
      <c r="F19" s="11">
        <f>11054.4+3045.6</f>
        <v>14100</v>
      </c>
      <c r="G19" s="11">
        <v>0</v>
      </c>
      <c r="H19" s="39">
        <v>7896</v>
      </c>
      <c r="I19" s="11">
        <f>24370.44+1936.4</f>
        <v>26306.84</v>
      </c>
      <c r="J19" s="11">
        <f t="shared" si="0"/>
        <v>48302.84</v>
      </c>
      <c r="K19" s="42" t="s">
        <v>13</v>
      </c>
      <c r="L19" s="44">
        <v>188</v>
      </c>
      <c r="M19" s="43">
        <f t="shared" si="1"/>
        <v>256.93</v>
      </c>
      <c r="P19" s="3"/>
    </row>
    <row r="20" spans="2:16" ht="25.5" customHeight="1">
      <c r="B20" s="31"/>
      <c r="C20" s="34"/>
      <c r="D20" s="34"/>
      <c r="E20" s="9" t="s">
        <v>28</v>
      </c>
      <c r="F20" s="11">
        <f>38126.4+64.8</f>
        <v>38191.200000000004</v>
      </c>
      <c r="G20" s="11">
        <v>0</v>
      </c>
      <c r="H20" s="39">
        <v>0</v>
      </c>
      <c r="I20" s="11">
        <f>44896.8+41.2</f>
        <v>44938</v>
      </c>
      <c r="J20" s="11">
        <f t="shared" si="0"/>
        <v>83129.200000000012</v>
      </c>
      <c r="K20" s="42" t="s">
        <v>13</v>
      </c>
      <c r="L20" s="44">
        <v>4</v>
      </c>
      <c r="M20" s="43">
        <f t="shared" si="1"/>
        <v>20782.300000000003</v>
      </c>
      <c r="P20" s="3"/>
    </row>
    <row r="21" spans="2:16" ht="25.5" customHeight="1">
      <c r="B21" s="31"/>
      <c r="C21" s="34"/>
      <c r="D21" s="34"/>
      <c r="E21" s="9" t="s">
        <v>29</v>
      </c>
      <c r="F21" s="11">
        <f>73219.2+3758.4</f>
        <v>76977.599999999991</v>
      </c>
      <c r="G21" s="11">
        <v>0</v>
      </c>
      <c r="H21" s="39">
        <v>0</v>
      </c>
      <c r="I21" s="11">
        <f>197647.76+2389.6</f>
        <v>200037.36000000002</v>
      </c>
      <c r="J21" s="11">
        <f t="shared" si="0"/>
        <v>277014.96000000002</v>
      </c>
      <c r="K21" s="42" t="s">
        <v>13</v>
      </c>
      <c r="L21" s="44">
        <v>232</v>
      </c>
      <c r="M21" s="43">
        <f t="shared" si="1"/>
        <v>1194.0300000000002</v>
      </c>
      <c r="P21" s="3"/>
    </row>
    <row r="22" spans="2:16" ht="14.1" customHeight="1">
      <c r="B22" s="31"/>
      <c r="C22" s="34"/>
      <c r="D22" s="34"/>
      <c r="E22" s="9" t="s">
        <v>30</v>
      </c>
      <c r="F22" s="11">
        <f>16632+324</f>
        <v>16956</v>
      </c>
      <c r="G22" s="11">
        <v>0</v>
      </c>
      <c r="H22" s="39">
        <v>83400</v>
      </c>
      <c r="I22" s="11">
        <f>33846.4+206</f>
        <v>34052.400000000001</v>
      </c>
      <c r="J22" s="11">
        <f t="shared" si="0"/>
        <v>134408.4</v>
      </c>
      <c r="K22" s="42" t="s">
        <v>13</v>
      </c>
      <c r="L22" s="44">
        <v>20</v>
      </c>
      <c r="M22" s="43">
        <f t="shared" si="1"/>
        <v>6720.42</v>
      </c>
      <c r="P22" s="3"/>
    </row>
    <row r="23" spans="2:16" ht="14.1" customHeight="1">
      <c r="B23" s="31"/>
      <c r="C23" s="34"/>
      <c r="D23" s="34"/>
      <c r="E23" s="9" t="s">
        <v>94</v>
      </c>
      <c r="F23" s="11">
        <f>50950.2+162</f>
        <v>51112.2</v>
      </c>
      <c r="G23" s="11">
        <v>0</v>
      </c>
      <c r="H23" s="39">
        <v>134820</v>
      </c>
      <c r="I23" s="11">
        <f>25686.1+103</f>
        <v>25789.1</v>
      </c>
      <c r="J23" s="11">
        <f t="shared" si="0"/>
        <v>211721.30000000002</v>
      </c>
      <c r="K23" s="42" t="s">
        <v>13</v>
      </c>
      <c r="L23" s="44">
        <v>10</v>
      </c>
      <c r="M23" s="43">
        <f t="shared" si="1"/>
        <v>21172.13</v>
      </c>
      <c r="P23" s="3"/>
    </row>
    <row r="24" spans="2:16" ht="14.1" customHeight="1">
      <c r="B24" s="31"/>
      <c r="C24" s="34"/>
      <c r="D24" s="34"/>
      <c r="E24" s="9" t="s">
        <v>95</v>
      </c>
      <c r="F24" s="11">
        <f>7813.1+81</f>
        <v>7894.1</v>
      </c>
      <c r="G24" s="11">
        <v>0</v>
      </c>
      <c r="H24" s="39">
        <v>52410</v>
      </c>
      <c r="I24" s="11">
        <f>12843.05+51.5</f>
        <v>12894.55</v>
      </c>
      <c r="J24" s="11">
        <f t="shared" si="0"/>
        <v>73198.649999999994</v>
      </c>
      <c r="K24" s="42" t="s">
        <v>13</v>
      </c>
      <c r="L24" s="44">
        <v>5</v>
      </c>
      <c r="M24" s="43">
        <f t="shared" si="1"/>
        <v>14639.73</v>
      </c>
      <c r="P24" s="3"/>
    </row>
    <row r="25" spans="2:16" ht="14.1" customHeight="1">
      <c r="B25" s="31"/>
      <c r="C25" s="34"/>
      <c r="D25" s="34"/>
      <c r="E25" s="9" t="s">
        <v>31</v>
      </c>
      <c r="F25" s="11">
        <f>33768+486</f>
        <v>34254</v>
      </c>
      <c r="G25" s="11">
        <v>0</v>
      </c>
      <c r="H25" s="39">
        <v>8460</v>
      </c>
      <c r="I25" s="11">
        <f>55561.8+309</f>
        <v>55870.8</v>
      </c>
      <c r="J25" s="11">
        <f t="shared" si="0"/>
        <v>98584.8</v>
      </c>
      <c r="K25" s="42" t="s">
        <v>13</v>
      </c>
      <c r="L25" s="44">
        <v>30</v>
      </c>
      <c r="M25" s="43">
        <f t="shared" si="1"/>
        <v>3286.1600000000003</v>
      </c>
      <c r="P25" s="3"/>
    </row>
    <row r="26" spans="2:16" ht="14.1" customHeight="1">
      <c r="B26" s="31"/>
      <c r="C26" s="34"/>
      <c r="D26" s="34"/>
      <c r="E26" s="9" t="s">
        <v>32</v>
      </c>
      <c r="F26" s="11">
        <f>33768+486</f>
        <v>34254</v>
      </c>
      <c r="G26" s="11">
        <v>0</v>
      </c>
      <c r="H26" s="39">
        <v>8460</v>
      </c>
      <c r="I26" s="11">
        <f>27809.4+309</f>
        <v>28118.400000000001</v>
      </c>
      <c r="J26" s="11">
        <f>F26+G26+H26+I26</f>
        <v>70832.399999999994</v>
      </c>
      <c r="K26" s="42" t="s">
        <v>13</v>
      </c>
      <c r="L26" s="44">
        <v>30</v>
      </c>
      <c r="M26" s="43">
        <f t="shared" si="1"/>
        <v>2361.08</v>
      </c>
      <c r="P26" s="3"/>
    </row>
    <row r="27" spans="2:16" ht="14.1" customHeight="1">
      <c r="B27" s="31"/>
      <c r="C27" s="34"/>
      <c r="D27" s="34"/>
      <c r="E27" s="9" t="s">
        <v>33</v>
      </c>
      <c r="F27" s="11">
        <f>102708+486</f>
        <v>103194</v>
      </c>
      <c r="G27" s="11">
        <v>0</v>
      </c>
      <c r="H27" s="39">
        <v>60228</v>
      </c>
      <c r="I27" s="11">
        <f>37031.4+309</f>
        <v>37340.400000000001</v>
      </c>
      <c r="J27" s="11">
        <f t="shared" si="0"/>
        <v>200762.4</v>
      </c>
      <c r="K27" s="42" t="s">
        <v>13</v>
      </c>
      <c r="L27" s="44">
        <v>30</v>
      </c>
      <c r="M27" s="43">
        <f t="shared" si="1"/>
        <v>6692.08</v>
      </c>
      <c r="O27" s="14"/>
      <c r="P27" s="3"/>
    </row>
    <row r="28" spans="2:16">
      <c r="B28" s="31"/>
      <c r="C28" s="34"/>
      <c r="D28" s="34"/>
      <c r="E28" s="9" t="s">
        <v>34</v>
      </c>
      <c r="F28" s="11">
        <f>10236+162</f>
        <v>10398</v>
      </c>
      <c r="G28" s="11">
        <v>0</v>
      </c>
      <c r="H28" s="39">
        <v>36576</v>
      </c>
      <c r="I28" s="11">
        <f>11963.8+103</f>
        <v>12066.8</v>
      </c>
      <c r="J28" s="11">
        <f t="shared" si="0"/>
        <v>59040.800000000003</v>
      </c>
      <c r="K28" s="42" t="s">
        <v>13</v>
      </c>
      <c r="L28" s="44">
        <v>10</v>
      </c>
      <c r="M28" s="43">
        <f t="shared" si="1"/>
        <v>5904.08</v>
      </c>
      <c r="O28" s="14"/>
      <c r="P28" s="3"/>
    </row>
    <row r="29" spans="2:16" ht="14.1" customHeight="1">
      <c r="B29" s="31"/>
      <c r="C29" s="34"/>
      <c r="D29" s="34"/>
      <c r="E29" s="9" t="s">
        <v>96</v>
      </c>
      <c r="F29" s="11">
        <f>4094.4+64.8</f>
        <v>4159.2</v>
      </c>
      <c r="G29" s="11">
        <v>0</v>
      </c>
      <c r="H29" s="39">
        <v>29073.599999999999</v>
      </c>
      <c r="I29" s="11">
        <f>12739.52+41.2</f>
        <v>12780.720000000001</v>
      </c>
      <c r="J29" s="11">
        <f t="shared" si="0"/>
        <v>46013.52</v>
      </c>
      <c r="K29" s="42" t="s">
        <v>13</v>
      </c>
      <c r="L29" s="44">
        <v>4</v>
      </c>
      <c r="M29" s="43">
        <f t="shared" si="1"/>
        <v>11503.38</v>
      </c>
      <c r="O29" s="14"/>
      <c r="P29" s="3"/>
    </row>
    <row r="30" spans="2:16" ht="28.5" customHeight="1">
      <c r="B30" s="31"/>
      <c r="C30" s="34"/>
      <c r="D30" s="34"/>
      <c r="E30" s="9" t="s">
        <v>35</v>
      </c>
      <c r="F30" s="11">
        <f>50928+324</f>
        <v>51252</v>
      </c>
      <c r="G30" s="11">
        <v>0</v>
      </c>
      <c r="H30" s="39">
        <v>54192</v>
      </c>
      <c r="I30" s="11">
        <f>46366.4+206</f>
        <v>46572.4</v>
      </c>
      <c r="J30" s="11">
        <f t="shared" si="0"/>
        <v>152016.4</v>
      </c>
      <c r="K30" s="42" t="s">
        <v>13</v>
      </c>
      <c r="L30" s="44">
        <v>20</v>
      </c>
      <c r="M30" s="43">
        <f t="shared" si="1"/>
        <v>7600.82</v>
      </c>
      <c r="P30" s="3"/>
    </row>
    <row r="31" spans="2:16" ht="27.75" customHeight="1">
      <c r="B31" s="31"/>
      <c r="C31" s="34"/>
      <c r="D31" s="34"/>
      <c r="E31" s="9" t="s">
        <v>36</v>
      </c>
      <c r="F31" s="11">
        <f>3024+129.6</f>
        <v>3153.6</v>
      </c>
      <c r="G31" s="11">
        <v>0</v>
      </c>
      <c r="H31" s="39">
        <v>42057.599999999999</v>
      </c>
      <c r="I31" s="11">
        <f>1359.44+82.32</f>
        <v>1441.76</v>
      </c>
      <c r="J31" s="11">
        <f t="shared" si="0"/>
        <v>46652.959999999999</v>
      </c>
      <c r="K31" s="42" t="s">
        <v>13</v>
      </c>
      <c r="L31" s="44">
        <v>8</v>
      </c>
      <c r="M31" s="43">
        <f t="shared" si="1"/>
        <v>5831.62</v>
      </c>
      <c r="O31" s="14"/>
      <c r="P31" s="3"/>
    </row>
    <row r="32" spans="2:16" ht="26.25" customHeight="1">
      <c r="B32" s="31"/>
      <c r="C32" s="34"/>
      <c r="D32" s="34"/>
      <c r="E32" s="9" t="s">
        <v>121</v>
      </c>
      <c r="F32" s="11">
        <f>14724+162</f>
        <v>14886</v>
      </c>
      <c r="G32" s="11">
        <v>0</v>
      </c>
      <c r="H32" s="39">
        <v>13308</v>
      </c>
      <c r="I32" s="11">
        <f>111.2+103</f>
        <v>214.2</v>
      </c>
      <c r="J32" s="11">
        <f t="shared" si="0"/>
        <v>28408.2</v>
      </c>
      <c r="K32" s="42" t="s">
        <v>13</v>
      </c>
      <c r="L32" s="44">
        <v>10</v>
      </c>
      <c r="M32" s="43">
        <f t="shared" si="1"/>
        <v>2840.82</v>
      </c>
      <c r="P32" s="3"/>
    </row>
    <row r="33" spans="2:16" ht="25.5" customHeight="1">
      <c r="B33" s="31"/>
      <c r="C33" s="34"/>
      <c r="D33" s="34"/>
      <c r="E33" s="9" t="s">
        <v>122</v>
      </c>
      <c r="F33" s="11">
        <f>20088+162</f>
        <v>20250</v>
      </c>
      <c r="G33" s="11">
        <v>0</v>
      </c>
      <c r="H33" s="39">
        <v>19260</v>
      </c>
      <c r="I33" s="11">
        <f>6829.1+103</f>
        <v>6932.1</v>
      </c>
      <c r="J33" s="11">
        <f t="shared" si="0"/>
        <v>46442.1</v>
      </c>
      <c r="K33" s="42" t="s">
        <v>13</v>
      </c>
      <c r="L33" s="44">
        <v>10</v>
      </c>
      <c r="M33" s="43">
        <f t="shared" si="1"/>
        <v>4644.21</v>
      </c>
      <c r="P33" s="3"/>
    </row>
    <row r="34" spans="2:16" ht="25.5" customHeight="1">
      <c r="B34" s="31"/>
      <c r="C34" s="34"/>
      <c r="D34" s="34"/>
      <c r="E34" s="9" t="s">
        <v>97</v>
      </c>
      <c r="F34" s="11">
        <f>53280+3240</f>
        <v>56520</v>
      </c>
      <c r="G34" s="11">
        <v>0</v>
      </c>
      <c r="H34" s="39">
        <v>38880</v>
      </c>
      <c r="I34" s="11">
        <f>49552+2060</f>
        <v>51612</v>
      </c>
      <c r="J34" s="11">
        <f t="shared" si="0"/>
        <v>147012</v>
      </c>
      <c r="K34" s="42" t="s">
        <v>13</v>
      </c>
      <c r="L34" s="44">
        <v>200</v>
      </c>
      <c r="M34" s="43">
        <f t="shared" si="1"/>
        <v>735.06</v>
      </c>
      <c r="P34" s="3"/>
    </row>
    <row r="35" spans="2:16" ht="26.25" customHeight="1">
      <c r="B35" s="31"/>
      <c r="C35" s="34"/>
      <c r="D35" s="34"/>
      <c r="E35" s="9" t="s">
        <v>37</v>
      </c>
      <c r="F35" s="11">
        <f>86124+162</f>
        <v>86286</v>
      </c>
      <c r="G35" s="11">
        <v>0</v>
      </c>
      <c r="H35" s="39">
        <v>744</v>
      </c>
      <c r="I35" s="11">
        <f>86713.2+103</f>
        <v>86816.2</v>
      </c>
      <c r="J35" s="11">
        <f t="shared" si="0"/>
        <v>173846.2</v>
      </c>
      <c r="K35" s="42" t="s">
        <v>13</v>
      </c>
      <c r="L35" s="44">
        <v>10</v>
      </c>
      <c r="M35" s="43">
        <f t="shared" si="1"/>
        <v>17384.620000000003</v>
      </c>
      <c r="P35" s="3"/>
    </row>
    <row r="36" spans="2:16" ht="27.75" customHeight="1">
      <c r="B36" s="31"/>
      <c r="C36" s="34"/>
      <c r="D36" s="34"/>
      <c r="E36" s="9" t="s">
        <v>38</v>
      </c>
      <c r="F36" s="11">
        <f>159904+648</f>
        <v>160552</v>
      </c>
      <c r="G36" s="11">
        <v>0</v>
      </c>
      <c r="H36" s="39">
        <v>34592</v>
      </c>
      <c r="I36" s="11">
        <f>54875.2+412</f>
        <v>55287.199999999997</v>
      </c>
      <c r="J36" s="11">
        <f t="shared" si="0"/>
        <v>250431.2</v>
      </c>
      <c r="K36" s="42" t="s">
        <v>13</v>
      </c>
      <c r="L36" s="44">
        <v>40</v>
      </c>
      <c r="M36" s="43">
        <f t="shared" si="1"/>
        <v>6260.7800000000007</v>
      </c>
      <c r="P36" s="3"/>
    </row>
    <row r="37" spans="2:16" ht="28.5" customHeight="1">
      <c r="B37" s="31"/>
      <c r="C37" s="34"/>
      <c r="D37" s="34"/>
      <c r="E37" s="9" t="s">
        <v>39</v>
      </c>
      <c r="F37" s="11">
        <f>273432+648</f>
        <v>274080</v>
      </c>
      <c r="G37" s="11">
        <v>0</v>
      </c>
      <c r="H37" s="39">
        <v>68904</v>
      </c>
      <c r="I37" s="11">
        <f>121788.8+412</f>
        <v>122200.8</v>
      </c>
      <c r="J37" s="11">
        <f t="shared" si="0"/>
        <v>465184.8</v>
      </c>
      <c r="K37" s="42" t="s">
        <v>13</v>
      </c>
      <c r="L37" s="44">
        <v>40</v>
      </c>
      <c r="M37" s="43">
        <f t="shared" si="1"/>
        <v>11629.619999999999</v>
      </c>
      <c r="P37" s="3"/>
    </row>
    <row r="38" spans="2:16" ht="12.75" customHeight="1">
      <c r="B38" s="31"/>
      <c r="C38" s="34"/>
      <c r="D38" s="34"/>
      <c r="E38" s="9" t="s">
        <v>98</v>
      </c>
      <c r="F38" s="11">
        <f>2421.6+32.4</f>
        <v>2454</v>
      </c>
      <c r="G38" s="11">
        <v>0</v>
      </c>
      <c r="H38" s="39">
        <v>1188</v>
      </c>
      <c r="I38" s="11">
        <f>3361.6+20.6</f>
        <v>3382.2</v>
      </c>
      <c r="J38" s="11">
        <f t="shared" si="0"/>
        <v>7024.2</v>
      </c>
      <c r="K38" s="42" t="s">
        <v>13</v>
      </c>
      <c r="L38" s="44">
        <v>2</v>
      </c>
      <c r="M38" s="43">
        <f t="shared" si="1"/>
        <v>3512.1</v>
      </c>
      <c r="P38" s="3"/>
    </row>
    <row r="39" spans="2:16" ht="14.1" customHeight="1">
      <c r="B39" s="31"/>
      <c r="C39" s="34"/>
      <c r="D39" s="34"/>
      <c r="E39" s="9" t="s">
        <v>40</v>
      </c>
      <c r="F39" s="11">
        <f>4215.6+48.6</f>
        <v>4264.2000000000007</v>
      </c>
      <c r="G39" s="11">
        <v>0</v>
      </c>
      <c r="H39" s="39">
        <v>7750.8</v>
      </c>
      <c r="I39" s="11">
        <f>2572.32+30.9</f>
        <v>2603.2200000000003</v>
      </c>
      <c r="J39" s="11">
        <f t="shared" si="0"/>
        <v>14618.220000000001</v>
      </c>
      <c r="K39" s="42" t="s">
        <v>13</v>
      </c>
      <c r="L39" s="44">
        <v>3</v>
      </c>
      <c r="M39" s="43">
        <f t="shared" si="1"/>
        <v>4872.7400000000007</v>
      </c>
      <c r="P39" s="3"/>
    </row>
    <row r="40" spans="2:16" ht="14.1" customHeight="1">
      <c r="B40" s="31"/>
      <c r="C40" s="34"/>
      <c r="D40" s="34"/>
      <c r="E40" s="9" t="s">
        <v>41</v>
      </c>
      <c r="F40" s="11">
        <f>4908+162</f>
        <v>5070</v>
      </c>
      <c r="G40" s="11">
        <v>0</v>
      </c>
      <c r="H40" s="39">
        <v>123432</v>
      </c>
      <c r="I40" s="11">
        <f>5168.6+103</f>
        <v>5271.6</v>
      </c>
      <c r="J40" s="11">
        <f t="shared" si="0"/>
        <v>133773.6</v>
      </c>
      <c r="K40" s="42" t="s">
        <v>13</v>
      </c>
      <c r="L40" s="44">
        <v>10</v>
      </c>
      <c r="M40" s="43">
        <f t="shared" si="1"/>
        <v>13377.36</v>
      </c>
      <c r="P40" s="3"/>
    </row>
    <row r="41" spans="2:16" ht="14.1" customHeight="1">
      <c r="B41" s="31"/>
      <c r="C41" s="34"/>
      <c r="D41" s="34"/>
      <c r="E41" s="9" t="s">
        <v>42</v>
      </c>
      <c r="F41" s="11">
        <f>5831.7+486</f>
        <v>6317.7</v>
      </c>
      <c r="G41" s="11">
        <v>0</v>
      </c>
      <c r="H41" s="39">
        <v>1008</v>
      </c>
      <c r="I41" s="11">
        <f>4526.1+309</f>
        <v>4835.1000000000004</v>
      </c>
      <c r="J41" s="11">
        <f t="shared" si="0"/>
        <v>12160.8</v>
      </c>
      <c r="K41" s="42" t="s">
        <v>13</v>
      </c>
      <c r="L41" s="44">
        <v>30</v>
      </c>
      <c r="M41" s="43">
        <f t="shared" si="1"/>
        <v>405.35999999999996</v>
      </c>
      <c r="P41" s="3"/>
    </row>
    <row r="42" spans="2:16" ht="14.1" customHeight="1">
      <c r="B42" s="31"/>
      <c r="C42" s="34"/>
      <c r="D42" s="34"/>
      <c r="E42" s="9" t="s">
        <v>43</v>
      </c>
      <c r="F42" s="11">
        <f>2047.2+32.4</f>
        <v>2079.6</v>
      </c>
      <c r="G42" s="11">
        <v>0</v>
      </c>
      <c r="H42" s="39">
        <v>11064</v>
      </c>
      <c r="I42" s="11">
        <f>2581.94+20.6</f>
        <v>2602.54</v>
      </c>
      <c r="J42" s="11">
        <f>F42+G42+H42+I42</f>
        <v>15746.14</v>
      </c>
      <c r="K42" s="42" t="s">
        <v>13</v>
      </c>
      <c r="L42" s="44">
        <v>2</v>
      </c>
      <c r="M42" s="43">
        <f t="shared" si="1"/>
        <v>7873.07</v>
      </c>
      <c r="P42" s="3"/>
    </row>
    <row r="43" spans="2:16" ht="14.1" customHeight="1">
      <c r="B43" s="31"/>
      <c r="C43" s="34"/>
      <c r="D43" s="34"/>
      <c r="E43" s="9" t="s">
        <v>99</v>
      </c>
      <c r="F43" s="11">
        <f>5196+81</f>
        <v>5277</v>
      </c>
      <c r="G43" s="11">
        <v>0</v>
      </c>
      <c r="H43" s="39">
        <v>2190</v>
      </c>
      <c r="I43" s="11">
        <f>2295.35+51.5</f>
        <v>2346.85</v>
      </c>
      <c r="J43" s="11">
        <f t="shared" si="0"/>
        <v>9813.85</v>
      </c>
      <c r="K43" s="42" t="s">
        <v>13</v>
      </c>
      <c r="L43" s="44">
        <v>5</v>
      </c>
      <c r="M43" s="43">
        <f t="shared" si="1"/>
        <v>1962.77</v>
      </c>
      <c r="P43" s="3"/>
    </row>
    <row r="44" spans="2:16" ht="14.1" customHeight="1">
      <c r="B44" s="31"/>
      <c r="C44" s="34"/>
      <c r="D44" s="34"/>
      <c r="E44" s="9" t="s">
        <v>44</v>
      </c>
      <c r="F44" s="11">
        <f>672+81</f>
        <v>753</v>
      </c>
      <c r="G44" s="11">
        <v>0</v>
      </c>
      <c r="H44" s="39">
        <v>2256</v>
      </c>
      <c r="I44" s="11">
        <f>927.55+51.5</f>
        <v>979.05</v>
      </c>
      <c r="J44" s="11">
        <f t="shared" si="0"/>
        <v>3988.05</v>
      </c>
      <c r="K44" s="42" t="s">
        <v>13</v>
      </c>
      <c r="L44" s="44">
        <v>5</v>
      </c>
      <c r="M44" s="43">
        <f t="shared" si="1"/>
        <v>797.61</v>
      </c>
      <c r="P44" s="3"/>
    </row>
    <row r="45" spans="2:16" ht="14.1" customHeight="1">
      <c r="B45" s="31"/>
      <c r="C45" s="34"/>
      <c r="D45" s="34"/>
      <c r="E45" s="9" t="s">
        <v>100</v>
      </c>
      <c r="F45" s="11">
        <f>894+81</f>
        <v>975</v>
      </c>
      <c r="G45" s="11">
        <v>0</v>
      </c>
      <c r="H45" s="39">
        <v>2304</v>
      </c>
      <c r="I45" s="11">
        <f>5872.75+51.5</f>
        <v>5924.25</v>
      </c>
      <c r="J45" s="11">
        <f t="shared" si="0"/>
        <v>9203.25</v>
      </c>
      <c r="K45" s="42" t="s">
        <v>13</v>
      </c>
      <c r="L45" s="44">
        <v>5</v>
      </c>
      <c r="M45" s="43">
        <f t="shared" si="1"/>
        <v>1840.65</v>
      </c>
      <c r="P45" s="3"/>
    </row>
    <row r="46" spans="2:16" ht="14.1" customHeight="1">
      <c r="B46" s="31"/>
      <c r="C46" s="34"/>
      <c r="D46" s="34"/>
      <c r="E46" s="9" t="s">
        <v>101</v>
      </c>
      <c r="F46" s="11">
        <f>19680+405</f>
        <v>20085</v>
      </c>
      <c r="G46" s="11">
        <v>0</v>
      </c>
      <c r="H46" s="39">
        <v>206160</v>
      </c>
      <c r="I46" s="11">
        <f>71115+257.5</f>
        <v>71372.5</v>
      </c>
      <c r="J46" s="11">
        <f t="shared" si="0"/>
        <v>297617.5</v>
      </c>
      <c r="K46" s="42" t="s">
        <v>13</v>
      </c>
      <c r="L46" s="44">
        <v>25</v>
      </c>
      <c r="M46" s="43">
        <f t="shared" si="1"/>
        <v>11904.7</v>
      </c>
      <c r="P46" s="3"/>
    </row>
    <row r="47" spans="2:16" ht="14.1" customHeight="1">
      <c r="B47" s="31"/>
      <c r="C47" s="34"/>
      <c r="D47" s="34"/>
      <c r="E47" s="9" t="s">
        <v>45</v>
      </c>
      <c r="F47" s="38">
        <f>2712+162</f>
        <v>2874</v>
      </c>
      <c r="G47" s="38">
        <v>0</v>
      </c>
      <c r="H47" s="38">
        <v>130776</v>
      </c>
      <c r="I47" s="38">
        <f>9178.2+103</f>
        <v>9281.2000000000007</v>
      </c>
      <c r="J47" s="11">
        <f t="shared" si="0"/>
        <v>142931.20000000001</v>
      </c>
      <c r="K47" s="42" t="s">
        <v>13</v>
      </c>
      <c r="L47" s="38">
        <v>10</v>
      </c>
      <c r="M47" s="43">
        <f t="shared" si="1"/>
        <v>14293.12</v>
      </c>
      <c r="P47" s="3"/>
    </row>
    <row r="48" spans="2:16" ht="14.1" customHeight="1">
      <c r="B48" s="31"/>
      <c r="C48" s="34"/>
      <c r="D48" s="34"/>
      <c r="E48" s="9" t="s">
        <v>46</v>
      </c>
      <c r="F48" s="38">
        <f>1435.2+64.8</f>
        <v>1500</v>
      </c>
      <c r="G48" s="38">
        <v>0</v>
      </c>
      <c r="H48" s="38">
        <v>88848</v>
      </c>
      <c r="I48" s="38">
        <f>83254.16+41.2</f>
        <v>83295.360000000001</v>
      </c>
      <c r="J48" s="11">
        <f t="shared" si="0"/>
        <v>173643.36</v>
      </c>
      <c r="K48" s="42" t="s">
        <v>13</v>
      </c>
      <c r="L48" s="38">
        <v>4</v>
      </c>
      <c r="M48" s="43">
        <f t="shared" si="1"/>
        <v>43410.84</v>
      </c>
      <c r="P48" s="3"/>
    </row>
    <row r="49" spans="2:16" ht="14.1" customHeight="1">
      <c r="B49" s="31"/>
      <c r="C49" s="34"/>
      <c r="D49" s="34"/>
      <c r="E49" s="9" t="s">
        <v>47</v>
      </c>
      <c r="F49" s="38">
        <f>465.58+32.4</f>
        <v>497.97999999999996</v>
      </c>
      <c r="G49" s="38">
        <v>0</v>
      </c>
      <c r="H49" s="38">
        <v>20140.8</v>
      </c>
      <c r="I49" s="38">
        <f>1464.34+20.6</f>
        <v>1484.9399999999998</v>
      </c>
      <c r="J49" s="11">
        <f t="shared" si="0"/>
        <v>22123.719999999998</v>
      </c>
      <c r="K49" s="42" t="s">
        <v>13</v>
      </c>
      <c r="L49" s="38">
        <v>2</v>
      </c>
      <c r="M49" s="43">
        <f t="shared" si="1"/>
        <v>11061.859999999999</v>
      </c>
      <c r="P49" s="3"/>
    </row>
    <row r="50" spans="2:16" ht="14.1" customHeight="1">
      <c r="B50" s="31"/>
      <c r="C50" s="34"/>
      <c r="D50" s="34"/>
      <c r="E50" s="9" t="s">
        <v>48</v>
      </c>
      <c r="F50" s="38">
        <f>20088+162</f>
        <v>20250</v>
      </c>
      <c r="G50" s="38">
        <v>0</v>
      </c>
      <c r="H50" s="38">
        <v>5580</v>
      </c>
      <c r="I50" s="38">
        <f>21597.1+103</f>
        <v>21700.1</v>
      </c>
      <c r="J50" s="11">
        <f t="shared" si="0"/>
        <v>47530.1</v>
      </c>
      <c r="K50" s="42" t="s">
        <v>13</v>
      </c>
      <c r="L50" s="38">
        <v>10</v>
      </c>
      <c r="M50" s="43">
        <f t="shared" si="1"/>
        <v>4753.01</v>
      </c>
      <c r="P50" s="3"/>
    </row>
    <row r="51" spans="2:16" ht="14.1" customHeight="1">
      <c r="B51" s="31"/>
      <c r="C51" s="34"/>
      <c r="D51" s="34"/>
      <c r="E51" s="9" t="s">
        <v>49</v>
      </c>
      <c r="F51" s="38">
        <f>14724+162</f>
        <v>14886</v>
      </c>
      <c r="G51" s="38">
        <v>0</v>
      </c>
      <c r="H51" s="38">
        <v>5604</v>
      </c>
      <c r="I51" s="38">
        <f>16302+103</f>
        <v>16405</v>
      </c>
      <c r="J51" s="11">
        <f t="shared" si="0"/>
        <v>36895</v>
      </c>
      <c r="K51" s="42" t="s">
        <v>13</v>
      </c>
      <c r="L51" s="38">
        <v>10</v>
      </c>
      <c r="M51" s="43">
        <f t="shared" si="1"/>
        <v>3689.5</v>
      </c>
      <c r="P51" s="3"/>
    </row>
    <row r="52" spans="2:16" ht="14.1" customHeight="1">
      <c r="B52" s="31"/>
      <c r="C52" s="34"/>
      <c r="D52" s="34"/>
      <c r="E52" s="9" t="s">
        <v>50</v>
      </c>
      <c r="F52" s="38">
        <f>182412+4374</f>
        <v>186786</v>
      </c>
      <c r="G52" s="38">
        <v>0</v>
      </c>
      <c r="H52" s="38">
        <v>437076</v>
      </c>
      <c r="I52" s="38">
        <f>516939.3+2781</f>
        <v>519720.3</v>
      </c>
      <c r="J52" s="11">
        <f t="shared" si="0"/>
        <v>1143582.3</v>
      </c>
      <c r="K52" s="42" t="s">
        <v>13</v>
      </c>
      <c r="L52" s="38">
        <v>270</v>
      </c>
      <c r="M52" s="43">
        <f t="shared" si="1"/>
        <v>4235.49</v>
      </c>
      <c r="P52" s="3"/>
    </row>
    <row r="53" spans="2:16" ht="14.1" customHeight="1">
      <c r="B53" s="31"/>
      <c r="C53" s="34"/>
      <c r="D53" s="34"/>
      <c r="E53" s="9" t="s">
        <v>51</v>
      </c>
      <c r="F53" s="38">
        <f>702680+4860</f>
        <v>707540</v>
      </c>
      <c r="G53" s="38">
        <v>0</v>
      </c>
      <c r="H53" s="38">
        <v>583960</v>
      </c>
      <c r="I53" s="38">
        <f>506784+3090</f>
        <v>509874</v>
      </c>
      <c r="J53" s="11">
        <f t="shared" si="0"/>
        <v>1801374</v>
      </c>
      <c r="K53" s="42" t="s">
        <v>13</v>
      </c>
      <c r="L53" s="38">
        <v>300</v>
      </c>
      <c r="M53" s="43">
        <f t="shared" si="1"/>
        <v>6004.58</v>
      </c>
      <c r="P53" s="3"/>
    </row>
    <row r="54" spans="2:16" ht="14.1" customHeight="1">
      <c r="B54" s="31"/>
      <c r="C54" s="34"/>
      <c r="D54" s="34"/>
      <c r="E54" s="9" t="s">
        <v>52</v>
      </c>
      <c r="F54" s="38">
        <f>27024+648</f>
        <v>27672</v>
      </c>
      <c r="G54" s="38">
        <v>0</v>
      </c>
      <c r="H54" s="38">
        <v>43344</v>
      </c>
      <c r="I54" s="38">
        <f>26073.2+412</f>
        <v>26485.200000000001</v>
      </c>
      <c r="J54" s="11">
        <f t="shared" si="0"/>
        <v>97501.2</v>
      </c>
      <c r="K54" s="42" t="s">
        <v>13</v>
      </c>
      <c r="L54" s="38">
        <v>40</v>
      </c>
      <c r="M54" s="43">
        <f t="shared" si="1"/>
        <v>2437.5299999999997</v>
      </c>
      <c r="P54" s="3"/>
    </row>
    <row r="55" spans="2:16" ht="25.5" customHeight="1">
      <c r="B55" s="31"/>
      <c r="C55" s="34"/>
      <c r="D55" s="34"/>
      <c r="E55" s="9" t="s">
        <v>53</v>
      </c>
      <c r="F55" s="11">
        <f>860800+4050</f>
        <v>864850</v>
      </c>
      <c r="G55" s="11">
        <v>0</v>
      </c>
      <c r="H55" s="11">
        <v>95900</v>
      </c>
      <c r="I55" s="11">
        <f>605500+2575</f>
        <v>608075</v>
      </c>
      <c r="J55" s="11">
        <f t="shared" si="0"/>
        <v>1568825</v>
      </c>
      <c r="K55" s="42" t="s">
        <v>13</v>
      </c>
      <c r="L55" s="11">
        <v>250</v>
      </c>
      <c r="M55" s="43">
        <f t="shared" si="1"/>
        <v>6275.3</v>
      </c>
      <c r="P55" s="3"/>
    </row>
    <row r="56" spans="2:16" ht="25.5" customHeight="1">
      <c r="B56" s="31"/>
      <c r="C56" s="34"/>
      <c r="D56" s="34"/>
      <c r="E56" s="9" t="s">
        <v>54</v>
      </c>
      <c r="F56" s="11">
        <f>28872+972</f>
        <v>29844</v>
      </c>
      <c r="G56" s="11">
        <v>0</v>
      </c>
      <c r="H56" s="11">
        <v>57384</v>
      </c>
      <c r="I56" s="11">
        <f>21667.8+618</f>
        <v>22285.8</v>
      </c>
      <c r="J56" s="11">
        <f t="shared" si="0"/>
        <v>109513.8</v>
      </c>
      <c r="K56" s="42" t="s">
        <v>13</v>
      </c>
      <c r="L56" s="11">
        <v>60</v>
      </c>
      <c r="M56" s="43">
        <f t="shared" si="1"/>
        <v>1825.23</v>
      </c>
      <c r="P56" s="3"/>
    </row>
    <row r="57" spans="2:16" ht="30" customHeight="1">
      <c r="B57" s="31"/>
      <c r="C57" s="34"/>
      <c r="D57" s="34"/>
      <c r="E57" s="9" t="s">
        <v>124</v>
      </c>
      <c r="F57" s="11">
        <f>13860+567</f>
        <v>14427</v>
      </c>
      <c r="G57" s="11">
        <v>0</v>
      </c>
      <c r="H57" s="11">
        <v>27468</v>
      </c>
      <c r="I57" s="11">
        <f>10212.3+360.5</f>
        <v>10572.8</v>
      </c>
      <c r="J57" s="11">
        <f t="shared" si="0"/>
        <v>52467.8</v>
      </c>
      <c r="K57" s="42" t="s">
        <v>13</v>
      </c>
      <c r="L57" s="11">
        <v>35</v>
      </c>
      <c r="M57" s="43">
        <f t="shared" si="1"/>
        <v>1499.0800000000002</v>
      </c>
      <c r="P57" s="3"/>
    </row>
    <row r="58" spans="2:16" ht="25.5" customHeight="1">
      <c r="B58" s="31"/>
      <c r="C58" s="34"/>
      <c r="D58" s="34"/>
      <c r="E58" s="9" t="s">
        <v>55</v>
      </c>
      <c r="F58" s="11">
        <f>2104368+163782</f>
        <v>2268150</v>
      </c>
      <c r="G58" s="11">
        <v>0</v>
      </c>
      <c r="H58" s="11">
        <v>637464</v>
      </c>
      <c r="I58" s="11">
        <f>897869.1+104133</f>
        <v>1002002.1</v>
      </c>
      <c r="J58" s="11">
        <f t="shared" si="0"/>
        <v>3907616.1</v>
      </c>
      <c r="K58" s="42" t="s">
        <v>13</v>
      </c>
      <c r="L58" s="11">
        <v>10110</v>
      </c>
      <c r="M58" s="43">
        <f t="shared" si="1"/>
        <v>386.51</v>
      </c>
      <c r="P58" s="3"/>
    </row>
    <row r="59" spans="2:16" ht="14.1" customHeight="1">
      <c r="B59" s="31"/>
      <c r="C59" s="34"/>
      <c r="D59" s="34"/>
      <c r="E59" s="9" t="s">
        <v>56</v>
      </c>
      <c r="F59" s="11">
        <f>1906425.61+97281</f>
        <v>2003706.61</v>
      </c>
      <c r="G59" s="11">
        <v>0</v>
      </c>
      <c r="H59" s="11">
        <v>376734.1</v>
      </c>
      <c r="I59" s="11">
        <f>390566.54+61851.5</f>
        <v>452418.04</v>
      </c>
      <c r="J59" s="11">
        <f t="shared" si="0"/>
        <v>2832858.75</v>
      </c>
      <c r="K59" s="42" t="s">
        <v>13</v>
      </c>
      <c r="L59" s="11">
        <v>6005</v>
      </c>
      <c r="M59" s="43">
        <f t="shared" si="1"/>
        <v>471.75</v>
      </c>
      <c r="P59" s="3"/>
    </row>
    <row r="60" spans="2:16" ht="15.75" customHeight="1">
      <c r="B60" s="31"/>
      <c r="C60" s="34"/>
      <c r="D60" s="34"/>
      <c r="E60" s="9" t="s">
        <v>102</v>
      </c>
      <c r="F60" s="11">
        <f>61404+6966</f>
        <v>68370</v>
      </c>
      <c r="G60" s="11">
        <v>0</v>
      </c>
      <c r="H60" s="11">
        <v>2580</v>
      </c>
      <c r="I60" s="11">
        <f>23744.6+4429</f>
        <v>28173.599999999999</v>
      </c>
      <c r="J60" s="11">
        <f t="shared" si="0"/>
        <v>99123.6</v>
      </c>
      <c r="K60" s="42" t="s">
        <v>13</v>
      </c>
      <c r="L60" s="11">
        <v>430</v>
      </c>
      <c r="M60" s="43">
        <f t="shared" si="1"/>
        <v>230.52</v>
      </c>
      <c r="P60" s="3"/>
    </row>
    <row r="61" spans="2:16" ht="14.1" customHeight="1">
      <c r="B61" s="31"/>
      <c r="C61" s="34"/>
      <c r="D61" s="34"/>
      <c r="E61" s="9" t="s">
        <v>57</v>
      </c>
      <c r="F61" s="11">
        <f>1411920+11340</f>
        <v>1423260</v>
      </c>
      <c r="G61" s="11">
        <v>0</v>
      </c>
      <c r="H61" s="11">
        <v>1281960</v>
      </c>
      <c r="I61" s="11">
        <f>1778560+7210</f>
        <v>1785770</v>
      </c>
      <c r="J61" s="11">
        <f t="shared" si="0"/>
        <v>4490990</v>
      </c>
      <c r="K61" s="42" t="s">
        <v>13</v>
      </c>
      <c r="L61" s="11">
        <v>700</v>
      </c>
      <c r="M61" s="43">
        <f t="shared" si="1"/>
        <v>6415.7</v>
      </c>
      <c r="P61" s="3"/>
    </row>
    <row r="62" spans="2:16" ht="14.1" customHeight="1">
      <c r="B62" s="31"/>
      <c r="C62" s="34"/>
      <c r="D62" s="34"/>
      <c r="E62" s="9" t="s">
        <v>58</v>
      </c>
      <c r="F62" s="11">
        <f>72576+3402</f>
        <v>75978</v>
      </c>
      <c r="G62" s="11">
        <v>0</v>
      </c>
      <c r="H62" s="11">
        <v>317016</v>
      </c>
      <c r="I62" s="11">
        <f>580631.1+2163</f>
        <v>582794.1</v>
      </c>
      <c r="J62" s="11">
        <f t="shared" si="0"/>
        <v>975788.1</v>
      </c>
      <c r="K62" s="42" t="s">
        <v>13</v>
      </c>
      <c r="L62" s="11">
        <v>210</v>
      </c>
      <c r="M62" s="43">
        <f t="shared" si="1"/>
        <v>4646.6099999999997</v>
      </c>
      <c r="P62" s="3"/>
    </row>
    <row r="63" spans="2:16" ht="14.1" customHeight="1">
      <c r="B63" s="31"/>
      <c r="C63" s="34"/>
      <c r="D63" s="34"/>
      <c r="E63" s="9" t="s">
        <v>59</v>
      </c>
      <c r="F63" s="11">
        <f>13824+648</f>
        <v>14472</v>
      </c>
      <c r="G63" s="11">
        <v>0</v>
      </c>
      <c r="H63" s="11">
        <v>38976</v>
      </c>
      <c r="I63" s="11">
        <f>60889.6+412</f>
        <v>61301.599999999999</v>
      </c>
      <c r="J63" s="11">
        <f t="shared" si="0"/>
        <v>114749.6</v>
      </c>
      <c r="K63" s="42" t="s">
        <v>13</v>
      </c>
      <c r="L63" s="11">
        <v>40</v>
      </c>
      <c r="M63" s="43">
        <f t="shared" si="1"/>
        <v>2868.7400000000002</v>
      </c>
      <c r="P63" s="3"/>
    </row>
    <row r="64" spans="2:16" ht="14.1" customHeight="1">
      <c r="B64" s="31"/>
      <c r="C64" s="34"/>
      <c r="D64" s="34"/>
      <c r="E64" s="9" t="s">
        <v>60</v>
      </c>
      <c r="F64" s="11">
        <f>7728+567</f>
        <v>8295</v>
      </c>
      <c r="G64" s="11">
        <v>0</v>
      </c>
      <c r="H64" s="11">
        <v>0</v>
      </c>
      <c r="I64" s="11">
        <f>7364.35+360.5</f>
        <v>7724.85</v>
      </c>
      <c r="J64" s="11">
        <f t="shared" si="0"/>
        <v>16019.85</v>
      </c>
      <c r="K64" s="42" t="s">
        <v>13</v>
      </c>
      <c r="L64" s="11">
        <v>35</v>
      </c>
      <c r="M64" s="43">
        <f t="shared" si="1"/>
        <v>457.71000000000004</v>
      </c>
      <c r="P64" s="3"/>
    </row>
    <row r="65" spans="2:16" ht="30.75" customHeight="1">
      <c r="B65" s="31"/>
      <c r="C65" s="34"/>
      <c r="D65" s="34"/>
      <c r="E65" s="9" t="s">
        <v>61</v>
      </c>
      <c r="F65" s="11">
        <f>63252+1134</f>
        <v>64386</v>
      </c>
      <c r="G65" s="11">
        <v>0</v>
      </c>
      <c r="H65" s="11">
        <v>56952</v>
      </c>
      <c r="I65" s="11">
        <f>22090.6+721</f>
        <v>22811.599999999999</v>
      </c>
      <c r="J65" s="11">
        <f t="shared" si="0"/>
        <v>144149.6</v>
      </c>
      <c r="K65" s="42" t="s">
        <v>13</v>
      </c>
      <c r="L65" s="11">
        <v>70</v>
      </c>
      <c r="M65" s="43">
        <f t="shared" si="1"/>
        <v>2059.2800000000002</v>
      </c>
      <c r="P65" s="3"/>
    </row>
    <row r="66" spans="2:16" ht="27.75" customHeight="1">
      <c r="B66" s="31"/>
      <c r="C66" s="34"/>
      <c r="D66" s="34"/>
      <c r="E66" s="9" t="s">
        <v>62</v>
      </c>
      <c r="F66" s="11">
        <f>27000+486</f>
        <v>27486</v>
      </c>
      <c r="G66" s="11">
        <v>0</v>
      </c>
      <c r="H66" s="11">
        <v>21564</v>
      </c>
      <c r="I66" s="11">
        <f>1373.1+309</f>
        <v>1682.1</v>
      </c>
      <c r="J66" s="11">
        <f t="shared" ref="J66:J109" si="2">F66+G66+H66+I66</f>
        <v>50732.1</v>
      </c>
      <c r="K66" s="42" t="s">
        <v>13</v>
      </c>
      <c r="L66" s="11">
        <v>30</v>
      </c>
      <c r="M66" s="43">
        <f t="shared" ref="M66:M109" si="3">J66/L66</f>
        <v>1691.07</v>
      </c>
      <c r="P66" s="3"/>
    </row>
    <row r="67" spans="2:16" ht="28.5" customHeight="1">
      <c r="B67" s="31"/>
      <c r="C67" s="34"/>
      <c r="D67" s="34"/>
      <c r="E67" s="9" t="s">
        <v>63</v>
      </c>
      <c r="F67" s="11">
        <f>418488.01+2430</f>
        <v>420918.01</v>
      </c>
      <c r="G67" s="11">
        <v>0</v>
      </c>
      <c r="H67" s="11">
        <v>175200</v>
      </c>
      <c r="I67" s="11">
        <f>489019.49+1545</f>
        <v>490564.49</v>
      </c>
      <c r="J67" s="11">
        <f t="shared" si="2"/>
        <v>1086682.5</v>
      </c>
      <c r="K67" s="42" t="s">
        <v>13</v>
      </c>
      <c r="L67" s="11">
        <v>150</v>
      </c>
      <c r="M67" s="43">
        <f t="shared" si="3"/>
        <v>7244.55</v>
      </c>
      <c r="P67" s="3"/>
    </row>
    <row r="68" spans="2:16" ht="27" customHeight="1">
      <c r="B68" s="31"/>
      <c r="C68" s="34"/>
      <c r="D68" s="34"/>
      <c r="E68" s="9" t="s">
        <v>125</v>
      </c>
      <c r="F68" s="11">
        <f>57485.45+891</f>
        <v>58376.45</v>
      </c>
      <c r="G68" s="11">
        <v>0</v>
      </c>
      <c r="H68" s="11">
        <v>59466</v>
      </c>
      <c r="I68" s="11">
        <f>6462.5+566.5</f>
        <v>7029</v>
      </c>
      <c r="J68" s="11">
        <f t="shared" si="2"/>
        <v>124871.45</v>
      </c>
      <c r="K68" s="42" t="s">
        <v>13</v>
      </c>
      <c r="L68" s="11">
        <v>55</v>
      </c>
      <c r="M68" s="43">
        <f t="shared" si="3"/>
        <v>2270.39</v>
      </c>
      <c r="P68" s="3"/>
    </row>
    <row r="69" spans="2:16" ht="14.1" customHeight="1">
      <c r="B69" s="31"/>
      <c r="C69" s="34"/>
      <c r="D69" s="34"/>
      <c r="E69" s="9" t="s">
        <v>64</v>
      </c>
      <c r="F69" s="11">
        <f>134100+4050</f>
        <v>138150</v>
      </c>
      <c r="G69" s="11">
        <v>0</v>
      </c>
      <c r="H69" s="11">
        <v>11400</v>
      </c>
      <c r="I69" s="11">
        <f>228700+2575</f>
        <v>231275</v>
      </c>
      <c r="J69" s="11">
        <f t="shared" si="2"/>
        <v>380825</v>
      </c>
      <c r="K69" s="42" t="s">
        <v>13</v>
      </c>
      <c r="L69" s="11">
        <v>250</v>
      </c>
      <c r="M69" s="43">
        <f t="shared" si="3"/>
        <v>1523.3</v>
      </c>
      <c r="P69" s="3"/>
    </row>
    <row r="70" spans="2:16" ht="14.1" customHeight="1">
      <c r="B70" s="31"/>
      <c r="C70" s="34"/>
      <c r="D70" s="34"/>
      <c r="E70" s="9" t="s">
        <v>65</v>
      </c>
      <c r="F70" s="11">
        <f>136122+567</f>
        <v>136689</v>
      </c>
      <c r="G70" s="11">
        <v>0</v>
      </c>
      <c r="H70" s="11">
        <v>0</v>
      </c>
      <c r="I70" s="11">
        <f>264504.8+360.5</f>
        <v>264865.3</v>
      </c>
      <c r="J70" s="11">
        <f t="shared" si="2"/>
        <v>401554.3</v>
      </c>
      <c r="K70" s="42" t="s">
        <v>13</v>
      </c>
      <c r="L70" s="11">
        <v>35</v>
      </c>
      <c r="M70" s="43">
        <f t="shared" si="3"/>
        <v>11472.98</v>
      </c>
      <c r="P70" s="3"/>
    </row>
    <row r="71" spans="2:16" ht="40.5" customHeight="1">
      <c r="B71" s="31"/>
      <c r="C71" s="34"/>
      <c r="D71" s="34"/>
      <c r="E71" s="9" t="s">
        <v>66</v>
      </c>
      <c r="F71" s="11">
        <f>1650750+12555</f>
        <v>1663305</v>
      </c>
      <c r="G71" s="11">
        <v>0</v>
      </c>
      <c r="H71" s="11">
        <v>88768.79</v>
      </c>
      <c r="I71" s="11">
        <f>1859968.71+7858.5</f>
        <v>1867827.21</v>
      </c>
      <c r="J71" s="11">
        <f t="shared" si="2"/>
        <v>3619901</v>
      </c>
      <c r="K71" s="42" t="s">
        <v>13</v>
      </c>
      <c r="L71" s="11">
        <v>775</v>
      </c>
      <c r="M71" s="43">
        <f t="shared" si="3"/>
        <v>4670.84</v>
      </c>
      <c r="P71" s="3"/>
    </row>
    <row r="72" spans="2:16" ht="14.1" customHeight="1">
      <c r="B72" s="31"/>
      <c r="C72" s="34"/>
      <c r="D72" s="34"/>
      <c r="E72" s="9" t="s">
        <v>67</v>
      </c>
      <c r="F72" s="11">
        <f>19730.76+71.6</f>
        <v>19802.359999999997</v>
      </c>
      <c r="G72" s="11">
        <v>0</v>
      </c>
      <c r="H72" s="11">
        <v>23602.03</v>
      </c>
      <c r="I72" s="11">
        <f>3144.01+34.4</f>
        <v>3178.4100000000003</v>
      </c>
      <c r="J72" s="11">
        <f t="shared" si="2"/>
        <v>46582.8</v>
      </c>
      <c r="K72" s="42" t="s">
        <v>13</v>
      </c>
      <c r="L72" s="11">
        <v>4</v>
      </c>
      <c r="M72" s="43">
        <f t="shared" si="3"/>
        <v>11645.7</v>
      </c>
      <c r="P72" s="3"/>
    </row>
    <row r="73" spans="2:16" ht="27.75" customHeight="1">
      <c r="B73" s="31"/>
      <c r="C73" s="34"/>
      <c r="D73" s="34"/>
      <c r="E73" s="9" t="s">
        <v>68</v>
      </c>
      <c r="F73" s="11">
        <v>0</v>
      </c>
      <c r="G73" s="11">
        <v>0</v>
      </c>
      <c r="H73" s="11">
        <v>21500</v>
      </c>
      <c r="I73" s="11">
        <f>4501414.96+15495890.64+318</f>
        <v>19997623.600000001</v>
      </c>
      <c r="J73" s="11">
        <f t="shared" si="2"/>
        <v>20019123.600000001</v>
      </c>
      <c r="K73" s="42" t="s">
        <v>13</v>
      </c>
      <c r="L73" s="11">
        <v>12</v>
      </c>
      <c r="M73" s="43">
        <f t="shared" si="3"/>
        <v>1668260.3</v>
      </c>
      <c r="P73" s="3"/>
    </row>
    <row r="74" spans="2:16">
      <c r="B74" s="31"/>
      <c r="C74" s="34"/>
      <c r="D74" s="34"/>
      <c r="E74" s="9" t="s">
        <v>104</v>
      </c>
      <c r="F74" s="11">
        <f>207334.5+81</f>
        <v>207415.5</v>
      </c>
      <c r="G74" s="11">
        <v>0</v>
      </c>
      <c r="H74" s="11">
        <v>1803883.07</v>
      </c>
      <c r="I74" s="11">
        <f>176964.78+51.5</f>
        <v>177016.28</v>
      </c>
      <c r="J74" s="11">
        <f t="shared" si="2"/>
        <v>2188314.85</v>
      </c>
      <c r="K74" s="42" t="s">
        <v>13</v>
      </c>
      <c r="L74" s="11">
        <v>5</v>
      </c>
      <c r="M74" s="43">
        <f t="shared" si="3"/>
        <v>437662.97000000003</v>
      </c>
      <c r="P74" s="3"/>
    </row>
    <row r="75" spans="2:16">
      <c r="B75" s="31"/>
      <c r="C75" s="34"/>
      <c r="D75" s="34"/>
      <c r="E75" s="9" t="s">
        <v>106</v>
      </c>
      <c r="F75" s="11">
        <f>12008.23+97.2</f>
        <v>12105.43</v>
      </c>
      <c r="G75" s="11">
        <v>0</v>
      </c>
      <c r="H75" s="11">
        <v>724543.42</v>
      </c>
      <c r="I75" s="11">
        <f>10820.17+61.8</f>
        <v>10881.97</v>
      </c>
      <c r="J75" s="11">
        <f t="shared" si="2"/>
        <v>747530.82000000007</v>
      </c>
      <c r="K75" s="42" t="s">
        <v>13</v>
      </c>
      <c r="L75" s="11">
        <v>6</v>
      </c>
      <c r="M75" s="43">
        <f t="shared" si="3"/>
        <v>124588.47000000002</v>
      </c>
      <c r="P75" s="3"/>
    </row>
    <row r="76" spans="2:16">
      <c r="B76" s="31"/>
      <c r="C76" s="34"/>
      <c r="D76" s="34"/>
      <c r="E76" s="9" t="s">
        <v>107</v>
      </c>
      <c r="F76" s="11">
        <f>18012.35+145.8</f>
        <v>18158.149999999998</v>
      </c>
      <c r="G76" s="11">
        <v>0</v>
      </c>
      <c r="H76" s="11">
        <v>2385284.31</v>
      </c>
      <c r="I76" s="11">
        <f>914941.24+92.79</f>
        <v>915034.03</v>
      </c>
      <c r="J76" s="11">
        <f t="shared" si="2"/>
        <v>3318476.49</v>
      </c>
      <c r="K76" s="42" t="s">
        <v>13</v>
      </c>
      <c r="L76" s="11">
        <v>9</v>
      </c>
      <c r="M76" s="43">
        <f t="shared" si="3"/>
        <v>368719.61000000004</v>
      </c>
      <c r="P76" s="3"/>
    </row>
    <row r="77" spans="2:16">
      <c r="B77" s="31"/>
      <c r="C77" s="34"/>
      <c r="D77" s="34"/>
      <c r="E77" s="9" t="s">
        <v>108</v>
      </c>
      <c r="F77" s="11">
        <f>487.38+16.2</f>
        <v>503.58</v>
      </c>
      <c r="G77" s="11">
        <v>0</v>
      </c>
      <c r="H77" s="11">
        <v>20858.919999999998</v>
      </c>
      <c r="I77" s="11">
        <f>574.63+10.3</f>
        <v>584.92999999999995</v>
      </c>
      <c r="J77" s="11">
        <f t="shared" si="2"/>
        <v>21947.43</v>
      </c>
      <c r="K77" s="42" t="s">
        <v>13</v>
      </c>
      <c r="L77" s="11">
        <v>1</v>
      </c>
      <c r="M77" s="43">
        <f t="shared" si="3"/>
        <v>21947.43</v>
      </c>
      <c r="P77" s="3"/>
    </row>
    <row r="78" spans="2:16">
      <c r="B78" s="31"/>
      <c r="C78" s="34"/>
      <c r="D78" s="34"/>
      <c r="E78" s="9" t="s">
        <v>109</v>
      </c>
      <c r="F78" s="11">
        <f>1214.28+81</f>
        <v>1295.28</v>
      </c>
      <c r="G78" s="11">
        <v>0</v>
      </c>
      <c r="H78" s="11">
        <v>59057.04</v>
      </c>
      <c r="I78" s="11">
        <f>1092.88+51.5</f>
        <v>1144.3800000000001</v>
      </c>
      <c r="J78" s="11">
        <f t="shared" si="2"/>
        <v>61496.7</v>
      </c>
      <c r="K78" s="42" t="s">
        <v>13</v>
      </c>
      <c r="L78" s="11">
        <v>5</v>
      </c>
      <c r="M78" s="43">
        <f t="shared" si="3"/>
        <v>12299.34</v>
      </c>
      <c r="P78" s="3"/>
    </row>
    <row r="79" spans="2:16">
      <c r="B79" s="31"/>
      <c r="C79" s="34"/>
      <c r="D79" s="34"/>
      <c r="E79" s="9" t="s">
        <v>110</v>
      </c>
      <c r="F79" s="11">
        <f>16744.92+162</f>
        <v>16906.919999999998</v>
      </c>
      <c r="G79" s="11">
        <v>0</v>
      </c>
      <c r="H79" s="11">
        <v>20327.28</v>
      </c>
      <c r="I79" s="11">
        <f>15070.4+103</f>
        <v>15173.4</v>
      </c>
      <c r="J79" s="11">
        <f t="shared" si="2"/>
        <v>52407.6</v>
      </c>
      <c r="K79" s="42" t="s">
        <v>13</v>
      </c>
      <c r="L79" s="11">
        <v>10</v>
      </c>
      <c r="M79" s="43">
        <f t="shared" si="3"/>
        <v>5240.76</v>
      </c>
      <c r="P79" s="3"/>
    </row>
    <row r="80" spans="2:16">
      <c r="B80" s="31"/>
      <c r="C80" s="34"/>
      <c r="D80" s="34"/>
      <c r="E80" s="9" t="s">
        <v>111</v>
      </c>
      <c r="F80" s="11">
        <f>3904.06+32.4</f>
        <v>3936.46</v>
      </c>
      <c r="G80" s="11">
        <v>0</v>
      </c>
      <c r="H80" s="11">
        <v>1039282.73</v>
      </c>
      <c r="I80" s="11">
        <f>481085.41+20.6</f>
        <v>481106.00999999995</v>
      </c>
      <c r="J80" s="11">
        <f t="shared" si="2"/>
        <v>1524325.2</v>
      </c>
      <c r="K80" s="42" t="s">
        <v>13</v>
      </c>
      <c r="L80" s="11">
        <v>2</v>
      </c>
      <c r="M80" s="43">
        <f t="shared" si="3"/>
        <v>762162.6</v>
      </c>
      <c r="P80" s="3"/>
    </row>
    <row r="81" spans="2:16">
      <c r="B81" s="31"/>
      <c r="C81" s="34"/>
      <c r="D81" s="34"/>
      <c r="E81" s="9" t="s">
        <v>112</v>
      </c>
      <c r="F81" s="11">
        <f>3118.56+32.4</f>
        <v>3150.96</v>
      </c>
      <c r="G81" s="11">
        <v>0</v>
      </c>
      <c r="H81" s="11">
        <v>22425.599999999999</v>
      </c>
      <c r="I81" s="11">
        <f>4308.24+20.6</f>
        <v>4328.84</v>
      </c>
      <c r="J81" s="11">
        <f t="shared" si="2"/>
        <v>29905.399999999998</v>
      </c>
      <c r="K81" s="42" t="s">
        <v>13</v>
      </c>
      <c r="L81" s="11">
        <v>2</v>
      </c>
      <c r="M81" s="43">
        <f t="shared" si="3"/>
        <v>14952.699999999999</v>
      </c>
      <c r="P81" s="3"/>
    </row>
    <row r="82" spans="2:16">
      <c r="B82" s="31"/>
      <c r="C82" s="34"/>
      <c r="D82" s="34"/>
      <c r="E82" s="9" t="s">
        <v>113</v>
      </c>
      <c r="F82" s="11">
        <f>1044.97+16.2</f>
        <v>1061.17</v>
      </c>
      <c r="G82" s="11">
        <v>0</v>
      </c>
      <c r="H82" s="11">
        <v>3685.37</v>
      </c>
      <c r="I82" s="11">
        <f>1047.23+10.3-0.01</f>
        <v>1057.52</v>
      </c>
      <c r="J82" s="11">
        <f t="shared" si="2"/>
        <v>5804.0599999999995</v>
      </c>
      <c r="K82" s="42" t="s">
        <v>13</v>
      </c>
      <c r="L82" s="11">
        <v>1</v>
      </c>
      <c r="M82" s="43">
        <f t="shared" si="3"/>
        <v>5804.0599999999995</v>
      </c>
      <c r="P82" s="3"/>
    </row>
    <row r="83" spans="2:16">
      <c r="B83" s="31"/>
      <c r="C83" s="34"/>
      <c r="D83" s="34"/>
      <c r="E83" s="9" t="s">
        <v>114</v>
      </c>
      <c r="F83" s="11">
        <f>485.71+32.4</f>
        <v>518.11</v>
      </c>
      <c r="G83" s="11">
        <v>0</v>
      </c>
      <c r="H83" s="11">
        <v>20025.86</v>
      </c>
      <c r="I83" s="11">
        <f>437.15+20.6</f>
        <v>457.75</v>
      </c>
      <c r="J83" s="11">
        <f t="shared" si="2"/>
        <v>21001.72</v>
      </c>
      <c r="K83" s="42" t="s">
        <v>13</v>
      </c>
      <c r="L83" s="11">
        <v>2</v>
      </c>
      <c r="M83" s="43">
        <f t="shared" si="3"/>
        <v>10500.86</v>
      </c>
      <c r="P83" s="3"/>
    </row>
    <row r="84" spans="2:16">
      <c r="B84" s="31"/>
      <c r="C84" s="34"/>
      <c r="D84" s="34"/>
      <c r="E84" s="9" t="s">
        <v>115</v>
      </c>
      <c r="F84" s="11">
        <f>211409.27+42427.8</f>
        <v>253837.07</v>
      </c>
      <c r="G84" s="11">
        <v>0</v>
      </c>
      <c r="H84" s="11">
        <v>1571.4</v>
      </c>
      <c r="I84" s="11">
        <f>208311.67+26975.7</f>
        <v>235287.37000000002</v>
      </c>
      <c r="J84" s="11">
        <f t="shared" si="2"/>
        <v>490695.84</v>
      </c>
      <c r="K84" s="42" t="s">
        <v>13</v>
      </c>
      <c r="L84" s="11">
        <v>2619</v>
      </c>
      <c r="M84" s="43">
        <f t="shared" si="3"/>
        <v>187.36</v>
      </c>
      <c r="P84" s="3"/>
    </row>
    <row r="85" spans="2:16">
      <c r="B85" s="31"/>
      <c r="C85" s="34"/>
      <c r="D85" s="34"/>
      <c r="E85" s="9" t="s">
        <v>120</v>
      </c>
      <c r="F85" s="11">
        <f>0+16.2</f>
        <v>16.2</v>
      </c>
      <c r="G85" s="11">
        <v>0</v>
      </c>
      <c r="H85" s="11">
        <v>443728.16</v>
      </c>
      <c r="I85" s="11">
        <f>0+10.3</f>
        <v>10.3</v>
      </c>
      <c r="J85" s="11">
        <f t="shared" si="2"/>
        <v>443754.66</v>
      </c>
      <c r="K85" s="42" t="s">
        <v>13</v>
      </c>
      <c r="L85" s="11">
        <v>1</v>
      </c>
      <c r="M85" s="43">
        <f t="shared" si="3"/>
        <v>443754.66</v>
      </c>
      <c r="P85" s="3"/>
    </row>
    <row r="86" spans="2:16">
      <c r="B86" s="31"/>
      <c r="C86" s="34"/>
      <c r="D86" s="35"/>
      <c r="E86" s="9" t="s">
        <v>116</v>
      </c>
      <c r="F86" s="11">
        <f>13486.39+145.8</f>
        <v>13632.189999999999</v>
      </c>
      <c r="G86" s="11">
        <v>0</v>
      </c>
      <c r="H86" s="11">
        <v>107.89</v>
      </c>
      <c r="I86" s="11">
        <f>15364.21+92.7</f>
        <v>15456.91</v>
      </c>
      <c r="J86" s="11">
        <f t="shared" si="2"/>
        <v>29196.989999999998</v>
      </c>
      <c r="K86" s="42" t="s">
        <v>13</v>
      </c>
      <c r="L86" s="11">
        <v>9</v>
      </c>
      <c r="M86" s="43">
        <f t="shared" si="3"/>
        <v>3244.1099999999997</v>
      </c>
      <c r="P86" s="3"/>
    </row>
    <row r="87" spans="2:16" ht="14.1" customHeight="1">
      <c r="B87" s="31"/>
      <c r="C87" s="34"/>
      <c r="D87" s="33" t="s">
        <v>90</v>
      </c>
      <c r="E87" s="9" t="s">
        <v>69</v>
      </c>
      <c r="F87" s="11">
        <f>6458.4+97.2</f>
        <v>6555.5999999999995</v>
      </c>
      <c r="G87" s="11">
        <v>0</v>
      </c>
      <c r="H87" s="11">
        <v>5400</v>
      </c>
      <c r="I87" s="11">
        <f>29416.32+61.8</f>
        <v>29478.12</v>
      </c>
      <c r="J87" s="11">
        <f t="shared" si="2"/>
        <v>41433.72</v>
      </c>
      <c r="K87" s="42" t="s">
        <v>89</v>
      </c>
      <c r="L87" s="11">
        <v>6</v>
      </c>
      <c r="M87" s="43">
        <f t="shared" si="3"/>
        <v>6905.62</v>
      </c>
      <c r="P87" s="3"/>
    </row>
    <row r="88" spans="2:16" ht="14.1" customHeight="1">
      <c r="B88" s="31"/>
      <c r="C88" s="34"/>
      <c r="D88" s="34"/>
      <c r="E88" s="9" t="s">
        <v>70</v>
      </c>
      <c r="F88" s="11">
        <f>6012529.76+1291217.71</f>
        <v>7303747.4699999997</v>
      </c>
      <c r="G88" s="11">
        <v>0</v>
      </c>
      <c r="H88" s="11">
        <f>10810945.27-4800000</f>
        <v>6010945.2699999996</v>
      </c>
      <c r="I88" s="11">
        <f>329458.11+4800000+797335.54</f>
        <v>5926793.6500000004</v>
      </c>
      <c r="J88" s="11">
        <f t="shared" si="2"/>
        <v>19241486.390000001</v>
      </c>
      <c r="K88" s="42" t="s">
        <v>89</v>
      </c>
      <c r="L88" s="11">
        <v>78813.33</v>
      </c>
      <c r="M88" s="43">
        <f t="shared" si="3"/>
        <v>244.1400000482152</v>
      </c>
      <c r="P88" s="3"/>
    </row>
    <row r="89" spans="2:16" ht="25.5" customHeight="1">
      <c r="B89" s="31"/>
      <c r="C89" s="34"/>
      <c r="D89" s="34"/>
      <c r="E89" s="9" t="s">
        <v>71</v>
      </c>
      <c r="F89" s="11">
        <f>331452+874.8</f>
        <v>332326.8</v>
      </c>
      <c r="G89" s="11">
        <v>0</v>
      </c>
      <c r="H89" s="11">
        <v>372146.4</v>
      </c>
      <c r="I89" s="11">
        <f>240078.6+556.2</f>
        <v>240634.80000000002</v>
      </c>
      <c r="J89" s="11">
        <f t="shared" si="2"/>
        <v>945108</v>
      </c>
      <c r="K89" s="42" t="s">
        <v>89</v>
      </c>
      <c r="L89" s="11">
        <v>54</v>
      </c>
      <c r="M89" s="43">
        <f t="shared" si="3"/>
        <v>17502</v>
      </c>
      <c r="P89" s="3"/>
    </row>
    <row r="90" spans="2:16" ht="14.1" customHeight="1">
      <c r="B90" s="31"/>
      <c r="C90" s="34"/>
      <c r="D90" s="34"/>
      <c r="E90" s="9" t="s">
        <v>72</v>
      </c>
      <c r="F90" s="11">
        <f>603504+1851.66</f>
        <v>605355.66</v>
      </c>
      <c r="G90" s="11">
        <v>0</v>
      </c>
      <c r="H90" s="11">
        <v>787709.88</v>
      </c>
      <c r="I90" s="11">
        <f>983767.53+1177.29</f>
        <v>984944.82000000007</v>
      </c>
      <c r="J90" s="11">
        <f t="shared" si="2"/>
        <v>2378010.3600000003</v>
      </c>
      <c r="K90" s="42" t="s">
        <v>89</v>
      </c>
      <c r="L90" s="11">
        <v>114.3</v>
      </c>
      <c r="M90" s="43">
        <f t="shared" si="3"/>
        <v>20804.990026246724</v>
      </c>
      <c r="P90" s="3"/>
    </row>
    <row r="91" spans="2:16" ht="14.1" customHeight="1">
      <c r="B91" s="31"/>
      <c r="C91" s="34"/>
      <c r="D91" s="34"/>
      <c r="E91" s="9" t="s">
        <v>73</v>
      </c>
      <c r="F91" s="11">
        <f>16956+291.6</f>
        <v>17247.599999999999</v>
      </c>
      <c r="G91" s="11">
        <v>0</v>
      </c>
      <c r="H91" s="11">
        <v>0</v>
      </c>
      <c r="I91" s="11">
        <f>42497.82+185.4</f>
        <v>42683.22</v>
      </c>
      <c r="J91" s="11">
        <f t="shared" si="2"/>
        <v>59930.82</v>
      </c>
      <c r="K91" s="42" t="s">
        <v>89</v>
      </c>
      <c r="L91" s="11">
        <v>18</v>
      </c>
      <c r="M91" s="43">
        <f t="shared" si="3"/>
        <v>3329.49</v>
      </c>
      <c r="P91" s="3"/>
    </row>
    <row r="92" spans="2:16" ht="27.75" customHeight="1">
      <c r="B92" s="31"/>
      <c r="C92" s="34"/>
      <c r="D92" s="34"/>
      <c r="E92" s="9" t="s">
        <v>126</v>
      </c>
      <c r="F92" s="11">
        <v>0</v>
      </c>
      <c r="G92" s="11">
        <v>0</v>
      </c>
      <c r="H92" s="11">
        <v>0</v>
      </c>
      <c r="I92" s="11">
        <f>1220377.41+14357.7</f>
        <v>1234735.1099999999</v>
      </c>
      <c r="J92" s="11">
        <f t="shared" si="2"/>
        <v>1234735.1099999999</v>
      </c>
      <c r="K92" s="42" t="s">
        <v>89</v>
      </c>
      <c r="L92" s="11">
        <v>541.79999999999995</v>
      </c>
      <c r="M92" s="43">
        <f t="shared" si="3"/>
        <v>2278.9499999999998</v>
      </c>
      <c r="P92" s="3"/>
    </row>
    <row r="93" spans="2:16" ht="26.25" customHeight="1">
      <c r="B93" s="31"/>
      <c r="C93" s="34"/>
      <c r="D93" s="35"/>
      <c r="E93" s="9" t="s">
        <v>127</v>
      </c>
      <c r="F93" s="11">
        <v>0</v>
      </c>
      <c r="G93" s="11">
        <v>0</v>
      </c>
      <c r="H93" s="11">
        <v>0</v>
      </c>
      <c r="I93" s="11">
        <f>479964.05+9672.5</f>
        <v>489636.55</v>
      </c>
      <c r="J93" s="11">
        <f t="shared" si="2"/>
        <v>489636.55</v>
      </c>
      <c r="K93" s="42" t="s">
        <v>89</v>
      </c>
      <c r="L93" s="11">
        <v>365</v>
      </c>
      <c r="M93" s="43">
        <f t="shared" si="3"/>
        <v>1341.47</v>
      </c>
      <c r="P93" s="3"/>
    </row>
    <row r="94" spans="2:16" ht="27.75" customHeight="1">
      <c r="B94" s="31"/>
      <c r="C94" s="34"/>
      <c r="D94" s="33" t="s">
        <v>91</v>
      </c>
      <c r="E94" s="9" t="s">
        <v>74</v>
      </c>
      <c r="F94" s="11">
        <f>21240+4860</f>
        <v>26100</v>
      </c>
      <c r="G94" s="11">
        <v>0</v>
      </c>
      <c r="H94" s="11">
        <v>32400</v>
      </c>
      <c r="I94" s="11">
        <f>163872+3090</f>
        <v>166962</v>
      </c>
      <c r="J94" s="11">
        <f t="shared" si="2"/>
        <v>225462</v>
      </c>
      <c r="K94" s="42" t="s">
        <v>14</v>
      </c>
      <c r="L94" s="11">
        <v>300</v>
      </c>
      <c r="M94" s="43">
        <f t="shared" si="3"/>
        <v>751.54</v>
      </c>
      <c r="P94" s="3"/>
    </row>
    <row r="95" spans="2:16" ht="29.25" customHeight="1">
      <c r="B95" s="31"/>
      <c r="C95" s="34"/>
      <c r="D95" s="34"/>
      <c r="E95" s="9" t="s">
        <v>75</v>
      </c>
      <c r="F95" s="11">
        <f>7080+1620</f>
        <v>8700</v>
      </c>
      <c r="G95" s="11">
        <v>0</v>
      </c>
      <c r="H95" s="11">
        <v>12720</v>
      </c>
      <c r="I95" s="11">
        <f>55012+1030</f>
        <v>56042</v>
      </c>
      <c r="J95" s="11">
        <f t="shared" si="2"/>
        <v>77462</v>
      </c>
      <c r="K95" s="42" t="s">
        <v>14</v>
      </c>
      <c r="L95" s="11">
        <v>100</v>
      </c>
      <c r="M95" s="43">
        <f t="shared" si="3"/>
        <v>774.62</v>
      </c>
      <c r="P95" s="3"/>
    </row>
    <row r="96" spans="2:16" ht="28.5" customHeight="1">
      <c r="B96" s="31"/>
      <c r="C96" s="34"/>
      <c r="D96" s="34"/>
      <c r="E96" s="9" t="s">
        <v>76</v>
      </c>
      <c r="F96" s="11">
        <f>14160+3240</f>
        <v>17400</v>
      </c>
      <c r="G96" s="11">
        <v>0</v>
      </c>
      <c r="H96" s="11">
        <v>32160</v>
      </c>
      <c r="I96" s="11">
        <f>109428+2060</f>
        <v>111488</v>
      </c>
      <c r="J96" s="11">
        <f t="shared" si="2"/>
        <v>161048</v>
      </c>
      <c r="K96" s="42" t="s">
        <v>14</v>
      </c>
      <c r="L96" s="11">
        <v>200</v>
      </c>
      <c r="M96" s="43">
        <f t="shared" si="3"/>
        <v>805.24</v>
      </c>
      <c r="P96" s="3"/>
    </row>
    <row r="97" spans="2:16" ht="29.25" customHeight="1">
      <c r="B97" s="31"/>
      <c r="C97" s="34"/>
      <c r="D97" s="34"/>
      <c r="E97" s="9" t="s">
        <v>77</v>
      </c>
      <c r="F97" s="11">
        <f>14160+3240</f>
        <v>17400</v>
      </c>
      <c r="G97" s="11">
        <v>0</v>
      </c>
      <c r="H97" s="11">
        <v>39600</v>
      </c>
      <c r="I97" s="11">
        <f>110192+2060</f>
        <v>112252</v>
      </c>
      <c r="J97" s="11">
        <f t="shared" si="2"/>
        <v>169252</v>
      </c>
      <c r="K97" s="42" t="s">
        <v>14</v>
      </c>
      <c r="L97" s="11">
        <v>200</v>
      </c>
      <c r="M97" s="43">
        <f t="shared" si="3"/>
        <v>846.26</v>
      </c>
      <c r="P97" s="3"/>
    </row>
    <row r="98" spans="2:16" ht="31.5" customHeight="1">
      <c r="B98" s="31"/>
      <c r="C98" s="34"/>
      <c r="D98" s="34"/>
      <c r="E98" s="9" t="s">
        <v>78</v>
      </c>
      <c r="F98" s="11">
        <f>14160+3240</f>
        <v>17400</v>
      </c>
      <c r="G98" s="11">
        <v>0</v>
      </c>
      <c r="H98" s="11">
        <v>48960</v>
      </c>
      <c r="I98" s="11">
        <f>111132+2060</f>
        <v>113192</v>
      </c>
      <c r="J98" s="11">
        <f t="shared" si="2"/>
        <v>179552</v>
      </c>
      <c r="K98" s="42" t="s">
        <v>14</v>
      </c>
      <c r="L98" s="11">
        <v>200</v>
      </c>
      <c r="M98" s="43">
        <f t="shared" si="3"/>
        <v>897.76</v>
      </c>
      <c r="P98" s="3"/>
    </row>
    <row r="99" spans="2:16" ht="31.5" customHeight="1">
      <c r="B99" s="31"/>
      <c r="C99" s="34"/>
      <c r="D99" s="34"/>
      <c r="E99" s="9" t="s">
        <v>79</v>
      </c>
      <c r="F99" s="11">
        <f>4800+1620</f>
        <v>6420</v>
      </c>
      <c r="G99" s="11">
        <v>0</v>
      </c>
      <c r="H99" s="11">
        <v>4320</v>
      </c>
      <c r="I99" s="11">
        <f>3913+1030</f>
        <v>4943</v>
      </c>
      <c r="J99" s="11">
        <f t="shared" si="2"/>
        <v>15683</v>
      </c>
      <c r="K99" s="42" t="s">
        <v>14</v>
      </c>
      <c r="L99" s="11">
        <v>100</v>
      </c>
      <c r="M99" s="43">
        <f t="shared" si="3"/>
        <v>156.83000000000001</v>
      </c>
      <c r="P99" s="3"/>
    </row>
    <row r="100" spans="2:16" ht="25.5" customHeight="1">
      <c r="B100" s="31"/>
      <c r="C100" s="34"/>
      <c r="D100" s="34"/>
      <c r="E100" s="9" t="s">
        <v>80</v>
      </c>
      <c r="F100" s="11">
        <f>2400+810</f>
        <v>3210</v>
      </c>
      <c r="G100" s="11">
        <v>0</v>
      </c>
      <c r="H100" s="11">
        <v>3120</v>
      </c>
      <c r="I100" s="11">
        <f>1639+515</f>
        <v>2154</v>
      </c>
      <c r="J100" s="11">
        <f t="shared" si="2"/>
        <v>8484</v>
      </c>
      <c r="K100" s="42" t="s">
        <v>14</v>
      </c>
      <c r="L100" s="11">
        <v>50</v>
      </c>
      <c r="M100" s="43">
        <f t="shared" si="3"/>
        <v>169.68</v>
      </c>
      <c r="P100" s="3"/>
    </row>
    <row r="101" spans="2:16" ht="12.75" customHeight="1">
      <c r="B101" s="31"/>
      <c r="C101" s="34"/>
      <c r="D101" s="34"/>
      <c r="E101" s="15" t="s">
        <v>117</v>
      </c>
      <c r="F101" s="11">
        <f>60346.08+14823</f>
        <v>75169.08</v>
      </c>
      <c r="G101" s="11">
        <v>0</v>
      </c>
      <c r="H101" s="11">
        <v>137842.92000000001</v>
      </c>
      <c r="I101" s="11">
        <f>66822.45+9424.5</f>
        <v>76246.95</v>
      </c>
      <c r="J101" s="11">
        <f t="shared" si="2"/>
        <v>289258.95</v>
      </c>
      <c r="K101" s="42" t="s">
        <v>14</v>
      </c>
      <c r="L101" s="11">
        <v>915</v>
      </c>
      <c r="M101" s="43">
        <f t="shared" si="3"/>
        <v>316.13</v>
      </c>
      <c r="P101" s="3"/>
    </row>
    <row r="102" spans="2:16" ht="13.5" customHeight="1">
      <c r="B102" s="31"/>
      <c r="C102" s="34"/>
      <c r="D102" s="34"/>
      <c r="E102" s="9" t="s">
        <v>118</v>
      </c>
      <c r="F102" s="11">
        <f>24516+4860</f>
        <v>29376</v>
      </c>
      <c r="G102" s="11">
        <v>0</v>
      </c>
      <c r="H102" s="11">
        <v>11689.2</v>
      </c>
      <c r="I102" s="11">
        <f>26164.8+3090</f>
        <v>29254.799999999999</v>
      </c>
      <c r="J102" s="11">
        <f t="shared" si="2"/>
        <v>70320</v>
      </c>
      <c r="K102" s="42" t="s">
        <v>14</v>
      </c>
      <c r="L102" s="11">
        <v>300</v>
      </c>
      <c r="M102" s="43">
        <f t="shared" si="3"/>
        <v>234.4</v>
      </c>
      <c r="P102" s="3"/>
    </row>
    <row r="103" spans="2:16" ht="14.25" customHeight="1">
      <c r="B103" s="32"/>
      <c r="C103" s="35"/>
      <c r="D103" s="35"/>
      <c r="E103" s="15" t="s">
        <v>119</v>
      </c>
      <c r="F103" s="11">
        <f>96733.8+14823</f>
        <v>111556.8</v>
      </c>
      <c r="G103" s="11">
        <v>0</v>
      </c>
      <c r="H103" s="11">
        <v>48663.360000000001</v>
      </c>
      <c r="I103" s="11">
        <f>57842.64+9424.5</f>
        <v>67267.14</v>
      </c>
      <c r="J103" s="11">
        <f t="shared" si="2"/>
        <v>227487.3</v>
      </c>
      <c r="K103" s="42" t="s">
        <v>14</v>
      </c>
      <c r="L103" s="11">
        <v>915</v>
      </c>
      <c r="M103" s="43">
        <f t="shared" si="3"/>
        <v>248.61999999999998</v>
      </c>
      <c r="P103" s="3"/>
    </row>
    <row r="104" spans="2:16" ht="14.1" customHeight="1">
      <c r="B104" s="30">
        <v>2</v>
      </c>
      <c r="C104" s="33" t="s">
        <v>81</v>
      </c>
      <c r="D104" s="27" t="s">
        <v>92</v>
      </c>
      <c r="E104" s="10" t="s">
        <v>82</v>
      </c>
      <c r="F104" s="11">
        <f>12470.4+194.4</f>
        <v>12664.8</v>
      </c>
      <c r="G104" s="11">
        <v>0</v>
      </c>
      <c r="H104" s="11">
        <v>42624</v>
      </c>
      <c r="I104" s="11">
        <f>30320.64+139.2</f>
        <v>30459.84</v>
      </c>
      <c r="J104" s="11">
        <f t="shared" si="2"/>
        <v>85748.64</v>
      </c>
      <c r="K104" s="42" t="s">
        <v>13</v>
      </c>
      <c r="L104" s="11">
        <v>12</v>
      </c>
      <c r="M104" s="43">
        <f t="shared" si="3"/>
        <v>7145.72</v>
      </c>
      <c r="P104" s="3"/>
    </row>
    <row r="105" spans="2:16" ht="30" customHeight="1">
      <c r="B105" s="31"/>
      <c r="C105" s="34"/>
      <c r="D105" s="28"/>
      <c r="E105" s="10" t="s">
        <v>83</v>
      </c>
      <c r="F105" s="11">
        <f>1980+810</f>
        <v>2790</v>
      </c>
      <c r="G105" s="11">
        <v>0</v>
      </c>
      <c r="H105" s="11">
        <v>660</v>
      </c>
      <c r="I105" s="11">
        <f>1346.5+515</f>
        <v>1861.5</v>
      </c>
      <c r="J105" s="11">
        <f t="shared" si="2"/>
        <v>5311.5</v>
      </c>
      <c r="K105" s="42" t="s">
        <v>13</v>
      </c>
      <c r="L105" s="11">
        <v>50</v>
      </c>
      <c r="M105" s="43">
        <f t="shared" si="3"/>
        <v>106.23</v>
      </c>
      <c r="P105" s="3"/>
    </row>
    <row r="106" spans="2:16" ht="27.75" customHeight="1">
      <c r="B106" s="31"/>
      <c r="C106" s="34"/>
      <c r="D106" s="29"/>
      <c r="E106" s="10" t="s">
        <v>84</v>
      </c>
      <c r="F106" s="11">
        <f>47172+162</f>
        <v>47334</v>
      </c>
      <c r="G106" s="11">
        <v>0</v>
      </c>
      <c r="H106" s="11">
        <v>255684</v>
      </c>
      <c r="I106" s="11">
        <f>108816.7+103</f>
        <v>108919.7</v>
      </c>
      <c r="J106" s="11">
        <f t="shared" si="2"/>
        <v>411937.7</v>
      </c>
      <c r="K106" s="42" t="s">
        <v>13</v>
      </c>
      <c r="L106" s="11">
        <v>10</v>
      </c>
      <c r="M106" s="43">
        <f t="shared" si="3"/>
        <v>41193.770000000004</v>
      </c>
      <c r="P106" s="3"/>
    </row>
    <row r="107" spans="2:16" ht="17.100000000000001" customHeight="1">
      <c r="B107" s="31"/>
      <c r="C107" s="34"/>
      <c r="D107" s="27" t="s">
        <v>103</v>
      </c>
      <c r="E107" s="9" t="s">
        <v>85</v>
      </c>
      <c r="F107" s="11">
        <f>38880+4860</f>
        <v>43740</v>
      </c>
      <c r="G107" s="11">
        <v>0</v>
      </c>
      <c r="H107" s="11">
        <v>399600</v>
      </c>
      <c r="I107" s="11">
        <f>134394+3090</f>
        <v>137484</v>
      </c>
      <c r="J107" s="11">
        <f t="shared" si="2"/>
        <v>580824</v>
      </c>
      <c r="K107" s="42" t="s">
        <v>14</v>
      </c>
      <c r="L107" s="11">
        <v>300</v>
      </c>
      <c r="M107" s="43">
        <f t="shared" si="3"/>
        <v>1936.08</v>
      </c>
      <c r="P107" s="3"/>
    </row>
    <row r="108" spans="2:16" ht="15" customHeight="1">
      <c r="B108" s="31"/>
      <c r="C108" s="34"/>
      <c r="D108" s="28"/>
      <c r="E108" s="9" t="s">
        <v>88</v>
      </c>
      <c r="F108" s="11">
        <f>33120+1620</f>
        <v>34740</v>
      </c>
      <c r="G108" s="11">
        <v>0</v>
      </c>
      <c r="H108" s="11">
        <v>7680</v>
      </c>
      <c r="I108" s="11">
        <f>34806+1030</f>
        <v>35836</v>
      </c>
      <c r="J108" s="11">
        <f t="shared" si="2"/>
        <v>78256</v>
      </c>
      <c r="K108" s="42" t="s">
        <v>14</v>
      </c>
      <c r="L108" s="11">
        <v>100</v>
      </c>
      <c r="M108" s="43">
        <f t="shared" si="3"/>
        <v>782.56</v>
      </c>
      <c r="P108" s="3"/>
    </row>
    <row r="109" spans="2:16" ht="30.75" customHeight="1">
      <c r="B109" s="32"/>
      <c r="C109" s="35"/>
      <c r="D109" s="29"/>
      <c r="E109" s="9" t="s">
        <v>86</v>
      </c>
      <c r="F109" s="12">
        <f>11664+1458</f>
        <v>13122</v>
      </c>
      <c r="G109" s="12">
        <v>0</v>
      </c>
      <c r="H109" s="12">
        <v>31752</v>
      </c>
      <c r="I109" s="12">
        <f>24046.2+927</f>
        <v>24973.200000000001</v>
      </c>
      <c r="J109" s="12">
        <f t="shared" si="2"/>
        <v>69847.199999999997</v>
      </c>
      <c r="K109" s="40" t="s">
        <v>14</v>
      </c>
      <c r="L109" s="12">
        <v>90</v>
      </c>
      <c r="M109" s="41">
        <f t="shared" si="3"/>
        <v>776.07999999999993</v>
      </c>
      <c r="P109" s="3"/>
    </row>
    <row r="110" spans="2:16" ht="24" customHeight="1">
      <c r="B110" s="24" t="s">
        <v>15</v>
      </c>
      <c r="C110" s="25"/>
      <c r="D110" s="25"/>
      <c r="E110" s="26"/>
      <c r="F110" s="11">
        <f>SUM(F9:F109)</f>
        <v>29484954.309999999</v>
      </c>
      <c r="G110" s="11">
        <f>SUM(G9:G109)</f>
        <v>0</v>
      </c>
      <c r="H110" s="11">
        <f>SUM(H9:H109)</f>
        <v>20978140.439999998</v>
      </c>
      <c r="I110" s="11">
        <f>SUM(I9:I109)</f>
        <v>46373596.149999999</v>
      </c>
      <c r="J110" s="11">
        <f>SUM(J9:J109)</f>
        <v>96836690.900000021</v>
      </c>
      <c r="K110" s="12"/>
      <c r="L110" s="12"/>
      <c r="M110" s="12"/>
    </row>
    <row r="111" spans="2:16"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2:16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</row>
    <row r="114" spans="6:11">
      <c r="F114" s="3"/>
      <c r="G114" s="3"/>
      <c r="H114" s="3"/>
      <c r="I114" s="3"/>
      <c r="J114" s="3"/>
      <c r="K114" s="3"/>
    </row>
  </sheetData>
  <mergeCells count="17">
    <mergeCell ref="I2:M2"/>
    <mergeCell ref="I4:M4"/>
    <mergeCell ref="I5:M5"/>
    <mergeCell ref="B111:M112"/>
    <mergeCell ref="B6:M6"/>
    <mergeCell ref="D7:E7"/>
    <mergeCell ref="K7:L7"/>
    <mergeCell ref="B110:E110"/>
    <mergeCell ref="D107:D109"/>
    <mergeCell ref="D104:D106"/>
    <mergeCell ref="B104:B109"/>
    <mergeCell ref="C104:C109"/>
    <mergeCell ref="D9:D86"/>
    <mergeCell ref="D87:D93"/>
    <mergeCell ref="B9:B103"/>
    <mergeCell ref="C9:C103"/>
    <mergeCell ref="D94:D103"/>
  </mergeCells>
  <pageMargins left="0.11811023622047245" right="0.11811023622047245" top="0.59055118110236227" bottom="0.39370078740157483" header="0.15748031496062992" footer="0.11811023622047245"/>
  <pageSetup paperSize="9" scale="7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Нормативные затраты 2024</vt:lpstr>
      <vt:lpstr>'Нормативные затраты 2024'!Заголовки_для_печати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407402804</cp:lastModifiedBy>
  <cp:lastPrinted>2024-04-26T13:03:44Z</cp:lastPrinted>
  <dcterms:created xsi:type="dcterms:W3CDTF">2008-10-01T13:21:49Z</dcterms:created>
  <dcterms:modified xsi:type="dcterms:W3CDTF">2024-04-26T13:04:54Z</dcterms:modified>
</cp:coreProperties>
</file>