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 activeTab="4"/>
  </bookViews>
  <sheets>
    <sheet name="Рейтинг 2015-2016" sheetId="1" state="hidden" r:id="rId1"/>
    <sheet name="Рейтинг 2022" sheetId="2" r:id="rId2"/>
    <sheet name="Оценка по напр 2022" sheetId="3" r:id="rId3"/>
    <sheet name="Оценка по напр 2016" sheetId="4" state="hidden" r:id="rId4"/>
    <sheet name="Итоги по ГРБС 2022" sheetId="5" r:id="rId5"/>
    <sheet name=" РАСЧЕТЫ по ГРБС 2022" sheetId="6" r:id="rId6"/>
    <sheet name="1.1. част изм" sheetId="7" state="hidden" r:id="rId7"/>
    <sheet name="1.2. доля БА, запл на МП" sheetId="8" state="hidden" r:id="rId8"/>
    <sheet name="1.3. соблюд сроков" sheetId="9" state="hidden" r:id="rId9"/>
    <sheet name="1.4 неис. БА" sheetId="10" state="hidden" r:id="rId10"/>
    <sheet name="1.5 планир доход" sheetId="11" state="hidden" r:id="rId11"/>
    <sheet name="2.1. равн.расх" sheetId="12" state="hidden" r:id="rId12"/>
    <sheet name="2.2. МП" sheetId="13" state="hidden" r:id="rId13"/>
    <sheet name="2.3. индикат МП" sheetId="14" state="hidden" r:id="rId14"/>
    <sheet name="2.4. обяз-ва по соглаш" sheetId="15" state="hidden" r:id="rId15"/>
    <sheet name="2.5. кред плат в бюдж" sheetId="16" state="hidden" r:id="rId16"/>
    <sheet name="2.6. кред по расч с пост" sheetId="17" state="hidden" r:id="rId17"/>
    <sheet name="2.7 изм кред" sheetId="18" state="hidden" r:id="rId18"/>
    <sheet name="2.8 упр деб зад" sheetId="19" state="hidden" r:id="rId19"/>
    <sheet name="2.9 изм деб" sheetId="20" state="hidden" r:id="rId20"/>
    <sheet name="2.10 невыясн поступл" sheetId="21" state="hidden" r:id="rId21"/>
    <sheet name="2.11 исп дох" sheetId="22" state="hidden" r:id="rId22"/>
    <sheet name="3.1. свед. о инветариз" sheetId="23" state="hidden" r:id="rId23"/>
    <sheet name="3.2 своеврем пред" sheetId="24" state="hidden" r:id="rId24"/>
    <sheet name="3.3 своеврем БУ АУ" sheetId="25" state="hidden" r:id="rId25"/>
    <sheet name="3.4 Кач-во отчетн" sheetId="26" state="hidden" r:id="rId26"/>
    <sheet name="3.5 Кач-во отчетн БУ АУ" sheetId="27" state="hidden" r:id="rId27"/>
    <sheet name="4.1 наруш бюдж зак" sheetId="28" state="hidden" r:id="rId28"/>
    <sheet name="4.2 Исп пред-й" sheetId="29" state="hidden" r:id="rId29"/>
    <sheet name="5.1 Утв норм затрат" sheetId="30" state="hidden" r:id="rId30"/>
    <sheet name="5.2 разм инф" sheetId="31" state="hidden" r:id="rId31"/>
    <sheet name="5.3 Доля ост-в" sheetId="32" state="hidden" r:id="rId32"/>
  </sheets>
  <definedNames>
    <definedName name="_xlnm._FilterDatabase" localSheetId="5" hidden="1">' РАСЧЕТЫ по ГРБС 2022'!$A$1:$A$38</definedName>
    <definedName name="_xlnm._FilterDatabase" localSheetId="6" hidden="1">'1.1. част изм'!$A$5:$G$20</definedName>
    <definedName name="_xlnm._FilterDatabase" localSheetId="7" hidden="1">'1.2. доля БА, запл на МП'!$A$5:$F$20</definedName>
    <definedName name="_xlnm._FilterDatabase" localSheetId="8" hidden="1">'1.3. соблюд сроков'!$A$5:$G$20</definedName>
    <definedName name="_xlnm._FilterDatabase" localSheetId="11" hidden="1">'2.1. равн.расх'!$A$4:$L$20</definedName>
    <definedName name="_xlnm._FilterDatabase" localSheetId="20" hidden="1">'2.10 невыясн поступл'!$A$5:$F$26</definedName>
    <definedName name="_xlnm._FilterDatabase" localSheetId="21" hidden="1">'2.11 исп дох'!$A$5:$G$26</definedName>
    <definedName name="_xlnm._FilterDatabase" localSheetId="12" hidden="1">'2.2. МП'!$E$5:$E$20</definedName>
    <definedName name="_xlnm._FilterDatabase" localSheetId="15" hidden="1">'2.5. кред плат в бюдж'!$A$6:$H$26</definedName>
    <definedName name="_xlnm._FilterDatabase" localSheetId="16" hidden="1">'2.6. кред по расч с пост'!$A$6:$H$27</definedName>
    <definedName name="_xlnm._FilterDatabase" localSheetId="17" hidden="1">'2.7 изм кред'!$A$6:$S$26</definedName>
    <definedName name="_xlnm._FilterDatabase" localSheetId="18" hidden="1">'2.8 упр деб зад'!$A$6:$J$25</definedName>
    <definedName name="_xlnm._FilterDatabase" localSheetId="19" hidden="1">'2.9 изм деб'!$A$6:$H$27</definedName>
    <definedName name="_xlnm._FilterDatabase" localSheetId="25" hidden="1">'3.4 Кач-во отчетн'!$A$5:$F$26</definedName>
    <definedName name="_xlnm._FilterDatabase" localSheetId="26" hidden="1">'3.5 Кач-во отчетн БУ АУ'!$A$5:$F$26</definedName>
    <definedName name="_xlnm._FilterDatabase" localSheetId="4" hidden="1">'Итоги по ГРБС 2022'!$D$6:$D$23</definedName>
    <definedName name="_xlnm._FilterDatabase" localSheetId="1" hidden="1">'Рейтинг 2022'!$E$8:$E$23</definedName>
    <definedName name="Print_Titles" localSheetId="5">' РАСЧЕТЫ по ГРБС 2022'!$A:$A,' РАСЧЕТЫ по ГРБС 2022'!$3:$3</definedName>
    <definedName name="_xlnm.Print_Area" localSheetId="5">' РАСЧЕТЫ по ГРБС 2022'!$A$1:$CC$35</definedName>
    <definedName name="_xlnm.Print_Area" localSheetId="6">'1.1. част изм'!$A$1:$G$24</definedName>
    <definedName name="_xlnm.Print_Area" localSheetId="7">'1.2. доля БА, запл на МП'!$A$1:$F$24</definedName>
    <definedName name="_xlnm.Print_Area" localSheetId="8">'1.3. соблюд сроков'!$A$1:$F$24</definedName>
    <definedName name="_xlnm.Print_Area" localSheetId="9">'1.4 неис. БА'!$A$1:$F$24</definedName>
    <definedName name="_xlnm.Print_Area" localSheetId="10">'1.5 планир доход'!$A$1:$F$24</definedName>
    <definedName name="_xlnm.Print_Area" localSheetId="11">'2.1. равн.расх'!$A$1:$H$24</definedName>
    <definedName name="_xlnm.Print_Area" localSheetId="20">'2.10 невыясн поступл'!$A$1:$E$24</definedName>
    <definedName name="_xlnm.Print_Area" localSheetId="21">'2.11 исп дох'!$A$1:$F$24</definedName>
    <definedName name="_xlnm.Print_Area" localSheetId="12">'2.2. МП'!$A$1:$F$24</definedName>
    <definedName name="_xlnm.Print_Area" localSheetId="13">'2.3. индикат МП'!$A$1:$F$24</definedName>
    <definedName name="_xlnm.Print_Area" localSheetId="14">'2.4. обяз-ва по соглаш'!$A$1:$E$24</definedName>
    <definedName name="_xlnm.Print_Area" localSheetId="15">'2.5. кред плат в бюдж'!$A$1:$F$23</definedName>
    <definedName name="_xlnm.Print_Area" localSheetId="16">'2.6. кред по расч с пост'!$A$1:$F$24</definedName>
    <definedName name="_xlnm.Print_Area" localSheetId="17">'2.7 изм кред'!$A$1:$F$23</definedName>
    <definedName name="_xlnm.Print_Area" localSheetId="18">'2.8 упр деб зад'!$A$1:$F$24</definedName>
    <definedName name="_xlnm.Print_Area" localSheetId="19">'2.9 изм деб'!$A$1:$F$24</definedName>
    <definedName name="_xlnm.Print_Area" localSheetId="22">'3.1. свед. о инветариз'!$A$1:$E$21</definedName>
    <definedName name="_xlnm.Print_Area" localSheetId="23">'3.2 своеврем пред'!$A$1:$E$21</definedName>
    <definedName name="_xlnm.Print_Area" localSheetId="24">'3.3 своеврем БУ АУ'!$A$1:$E$21</definedName>
    <definedName name="_xlnm.Print_Area" localSheetId="25">'3.4 Кач-во отчетн'!$A$1:$E$24</definedName>
    <definedName name="_xlnm.Print_Area" localSheetId="26">'3.5 Кач-во отчетн БУ АУ'!$A$1:$E$24</definedName>
    <definedName name="_xlnm.Print_Area" localSheetId="27">'4.1 наруш бюдж зак'!$A$1:$F$21</definedName>
    <definedName name="_xlnm.Print_Area" localSheetId="28">'4.2 Исп пред-й'!$A$1:$G$22</definedName>
    <definedName name="_xlnm.Print_Area" localSheetId="29">'5.1 Утв норм затрат'!$A$1:$F$19</definedName>
    <definedName name="_xlnm.Print_Area" localSheetId="30">'5.2 разм инф'!$A$1:$F$19</definedName>
    <definedName name="_xlnm.Print_Area" localSheetId="31">'5.3 Доля ост-в'!$A$1:$F$19</definedName>
    <definedName name="_xlnm.Print_Area" localSheetId="4">'Итоги по ГРБС 2022'!$A$1:$D$26</definedName>
    <definedName name="_xlnm.Print_Area" localSheetId="3">'Оценка по напр 2016'!$A$1:$L$30</definedName>
    <definedName name="_xlnm.Print_Area" localSheetId="2">'Оценка по напр 2022'!$A$1:$I$33</definedName>
    <definedName name="_xlnm.Print_Area" localSheetId="0">'Рейтинг 2015-2016'!$B$1:$I$26</definedName>
    <definedName name="_xlnm.Print_Area" localSheetId="1">'Рейтинг 2022'!$B$1:$E$28</definedName>
  </definedNames>
  <calcPr calcId="124519" iterate="1"/>
</workbook>
</file>

<file path=xl/calcChain.xml><?xml version="1.0" encoding="utf-8"?>
<calcChain xmlns="http://schemas.openxmlformats.org/spreadsheetml/2006/main">
  <c r="K17" i="32"/>
  <c r="E17"/>
  <c r="K13"/>
  <c r="K11"/>
  <c r="K10"/>
  <c r="L17" i="30"/>
  <c r="E17"/>
  <c r="L13"/>
  <c r="L11"/>
  <c r="L10"/>
  <c r="C26" i="27"/>
  <c r="D23"/>
  <c r="D24" s="1"/>
  <c r="H18"/>
  <c r="H14"/>
  <c r="H12"/>
  <c r="H11"/>
  <c r="C26" i="26"/>
  <c r="D24"/>
  <c r="D23"/>
  <c r="B27" i="24"/>
  <c r="D26" i="22"/>
  <c r="C26"/>
  <c r="D25"/>
  <c r="C25"/>
  <c r="G20"/>
  <c r="E20"/>
  <c r="G19"/>
  <c r="E19"/>
  <c r="G18"/>
  <c r="E18"/>
  <c r="G17"/>
  <c r="E17"/>
  <c r="G16"/>
  <c r="E16"/>
  <c r="G15"/>
  <c r="E15"/>
  <c r="G14"/>
  <c r="G13"/>
  <c r="E13"/>
  <c r="G12"/>
  <c r="G11"/>
  <c r="E11"/>
  <c r="G10"/>
  <c r="E10"/>
  <c r="G9"/>
  <c r="E9"/>
  <c r="E22" s="1"/>
  <c r="E23" s="1"/>
  <c r="G8"/>
  <c r="E8"/>
  <c r="G7"/>
  <c r="E7"/>
  <c r="C26" i="21"/>
  <c r="F20"/>
  <c r="F19"/>
  <c r="F18"/>
  <c r="F17"/>
  <c r="F16"/>
  <c r="F15"/>
  <c r="F14"/>
  <c r="F13"/>
  <c r="F12"/>
  <c r="F11"/>
  <c r="F10"/>
  <c r="F9"/>
  <c r="F8"/>
  <c r="F7"/>
  <c r="D30" i="20"/>
  <c r="C30"/>
  <c r="D27"/>
  <c r="C27"/>
  <c r="E20"/>
  <c r="L19"/>
  <c r="E19"/>
  <c r="L18"/>
  <c r="E18"/>
  <c r="L17"/>
  <c r="E17"/>
  <c r="L16"/>
  <c r="E16"/>
  <c r="L15"/>
  <c r="E15"/>
  <c r="L14"/>
  <c r="E14"/>
  <c r="L13"/>
  <c r="E13"/>
  <c r="L12"/>
  <c r="E12"/>
  <c r="L11"/>
  <c r="E11"/>
  <c r="L10"/>
  <c r="E10"/>
  <c r="L9"/>
  <c r="E9"/>
  <c r="E23" s="1"/>
  <c r="E24" s="1"/>
  <c r="L8"/>
  <c r="E8"/>
  <c r="L7"/>
  <c r="E7"/>
  <c r="L6"/>
  <c r="E6"/>
  <c r="D25" i="19"/>
  <c r="C25"/>
  <c r="E21"/>
  <c r="E20"/>
  <c r="K19"/>
  <c r="E19"/>
  <c r="K18"/>
  <c r="E18"/>
  <c r="K17"/>
  <c r="E17"/>
  <c r="K16"/>
  <c r="E16"/>
  <c r="K15"/>
  <c r="E15"/>
  <c r="K14"/>
  <c r="E14"/>
  <c r="K13"/>
  <c r="E13"/>
  <c r="K12"/>
  <c r="E12"/>
  <c r="K11"/>
  <c r="E11"/>
  <c r="K10"/>
  <c r="E10"/>
  <c r="K9"/>
  <c r="E9"/>
  <c r="K8"/>
  <c r="E8"/>
  <c r="K7"/>
  <c r="E7"/>
  <c r="K6"/>
  <c r="E6"/>
  <c r="E23" s="1"/>
  <c r="E24" s="1"/>
  <c r="D29" i="18"/>
  <c r="D26"/>
  <c r="C26"/>
  <c r="C29" s="1"/>
  <c r="J23"/>
  <c r="J22"/>
  <c r="E20"/>
  <c r="Y19"/>
  <c r="X19"/>
  <c r="W19"/>
  <c r="R19"/>
  <c r="E19"/>
  <c r="Y18"/>
  <c r="X18"/>
  <c r="W18"/>
  <c r="R18"/>
  <c r="E18"/>
  <c r="Y17"/>
  <c r="X17"/>
  <c r="W17"/>
  <c r="R17"/>
  <c r="E17"/>
  <c r="Y16"/>
  <c r="X16"/>
  <c r="W16"/>
  <c r="R16"/>
  <c r="E16"/>
  <c r="X15"/>
  <c r="W15"/>
  <c r="R15"/>
  <c r="E15"/>
  <c r="Y15" s="1"/>
  <c r="Y14"/>
  <c r="X14"/>
  <c r="W14"/>
  <c r="R14"/>
  <c r="E14"/>
  <c r="X13"/>
  <c r="W13"/>
  <c r="R13"/>
  <c r="E13"/>
  <c r="Y13" s="1"/>
  <c r="Y12"/>
  <c r="X12"/>
  <c r="W12"/>
  <c r="R12"/>
  <c r="E12"/>
  <c r="Y11"/>
  <c r="X11"/>
  <c r="W11"/>
  <c r="R11"/>
  <c r="E11"/>
  <c r="Y10"/>
  <c r="X10"/>
  <c r="W10"/>
  <c r="R10"/>
  <c r="Y9"/>
  <c r="X9"/>
  <c r="W9"/>
  <c r="R9"/>
  <c r="E9"/>
  <c r="X8"/>
  <c r="W8"/>
  <c r="R8"/>
  <c r="E8"/>
  <c r="Y8" s="1"/>
  <c r="Y7"/>
  <c r="X7"/>
  <c r="W7"/>
  <c r="R7"/>
  <c r="E7"/>
  <c r="Y6"/>
  <c r="X6"/>
  <c r="W6"/>
  <c r="R6"/>
  <c r="E6"/>
  <c r="C30" i="17"/>
  <c r="D27"/>
  <c r="D30" s="1"/>
  <c r="C27"/>
  <c r="E21"/>
  <c r="E20"/>
  <c r="E19"/>
  <c r="E18"/>
  <c r="E17"/>
  <c r="E16"/>
  <c r="E15"/>
  <c r="E14"/>
  <c r="E13"/>
  <c r="E12"/>
  <c r="E11"/>
  <c r="E10"/>
  <c r="E23" s="1"/>
  <c r="E24" s="1"/>
  <c r="E9"/>
  <c r="E8"/>
  <c r="E7"/>
  <c r="E6"/>
  <c r="D27" i="16"/>
  <c r="D24"/>
  <c r="C24"/>
  <c r="C27" s="1"/>
  <c r="E21"/>
  <c r="E20"/>
  <c r="K19"/>
  <c r="E19"/>
  <c r="K18"/>
  <c r="E18"/>
  <c r="K17"/>
  <c r="E17"/>
  <c r="K16"/>
  <c r="E16"/>
  <c r="K15"/>
  <c r="E15"/>
  <c r="K14"/>
  <c r="E14"/>
  <c r="K13"/>
  <c r="E13"/>
  <c r="K12"/>
  <c r="E12"/>
  <c r="K11"/>
  <c r="E11"/>
  <c r="K10"/>
  <c r="E10"/>
  <c r="E22" s="1"/>
  <c r="E23" s="1"/>
  <c r="K9"/>
  <c r="E9"/>
  <c r="K8"/>
  <c r="E8"/>
  <c r="K7"/>
  <c r="E7"/>
  <c r="K6"/>
  <c r="E6"/>
  <c r="D25" i="15"/>
  <c r="C25"/>
  <c r="E19"/>
  <c r="E18"/>
  <c r="BL14" i="6" s="1"/>
  <c r="BM14" s="1"/>
  <c r="E17" i="15"/>
  <c r="E16"/>
  <c r="BB14" i="6" s="1"/>
  <c r="BC14" s="1"/>
  <c r="E15" i="15"/>
  <c r="AW14" i="6" s="1"/>
  <c r="AX14" s="1"/>
  <c r="E12" i="15"/>
  <c r="AH14" i="6" s="1"/>
  <c r="AI14" s="1"/>
  <c r="E11" i="15"/>
  <c r="E10"/>
  <c r="E9"/>
  <c r="E8"/>
  <c r="E7"/>
  <c r="D25" i="14"/>
  <c r="C25"/>
  <c r="M20"/>
  <c r="J20"/>
  <c r="E20"/>
  <c r="J19"/>
  <c r="E19"/>
  <c r="N18"/>
  <c r="M18"/>
  <c r="J18"/>
  <c r="E18"/>
  <c r="N17"/>
  <c r="M17"/>
  <c r="J17"/>
  <c r="E17"/>
  <c r="N16"/>
  <c r="M16"/>
  <c r="J16"/>
  <c r="E16"/>
  <c r="N15"/>
  <c r="M15"/>
  <c r="J15"/>
  <c r="E15"/>
  <c r="J14"/>
  <c r="E14"/>
  <c r="J13"/>
  <c r="N12"/>
  <c r="M12"/>
  <c r="J12"/>
  <c r="E12"/>
  <c r="N11"/>
  <c r="M11"/>
  <c r="J11"/>
  <c r="E11"/>
  <c r="J10"/>
  <c r="J23" s="1"/>
  <c r="J24" s="1"/>
  <c r="E10"/>
  <c r="E23" s="1"/>
  <c r="E24" s="1"/>
  <c r="J9"/>
  <c r="E9"/>
  <c r="N8"/>
  <c r="M8"/>
  <c r="J8"/>
  <c r="E8"/>
  <c r="N7"/>
  <c r="M7"/>
  <c r="J7"/>
  <c r="E7"/>
  <c r="D27" i="13"/>
  <c r="C27"/>
  <c r="D25"/>
  <c r="C25"/>
  <c r="E20"/>
  <c r="G20" s="1"/>
  <c r="F20" s="1"/>
  <c r="BV12" i="6" s="1"/>
  <c r="BW12" s="1"/>
  <c r="G19" i="13"/>
  <c r="F19" s="1"/>
  <c r="BQ12" i="6" s="1"/>
  <c r="BR12" s="1"/>
  <c r="E19" i="13"/>
  <c r="G18"/>
  <c r="F18" s="1"/>
  <c r="BL12" i="6" s="1"/>
  <c r="BM12" s="1"/>
  <c r="E18" i="13"/>
  <c r="G17"/>
  <c r="F17" s="1"/>
  <c r="BG12" i="6" s="1"/>
  <c r="BH12" s="1"/>
  <c r="E17" i="13"/>
  <c r="E16"/>
  <c r="G16" s="1"/>
  <c r="F16" s="1"/>
  <c r="BB12" i="6" s="1"/>
  <c r="BC12" s="1"/>
  <c r="G15" i="13"/>
  <c r="F15" s="1"/>
  <c r="AW12" i="6" s="1"/>
  <c r="AX12" s="1"/>
  <c r="E15" i="13"/>
  <c r="G14"/>
  <c r="F14" s="1"/>
  <c r="AR12" i="6" s="1"/>
  <c r="AS12" s="1"/>
  <c r="E14" i="13"/>
  <c r="G13"/>
  <c r="F13" s="1"/>
  <c r="AM12" i="6" s="1"/>
  <c r="AN12" s="1"/>
  <c r="AN10" s="1"/>
  <c r="AO10" s="1"/>
  <c r="D17" i="3" s="1"/>
  <c r="E13" i="13"/>
  <c r="E12"/>
  <c r="G12" s="1"/>
  <c r="F12" s="1"/>
  <c r="AH12" i="6" s="1"/>
  <c r="AI12" s="1"/>
  <c r="G11" i="13"/>
  <c r="F11" s="1"/>
  <c r="AC12" i="6" s="1"/>
  <c r="AD12" s="1"/>
  <c r="E11" i="13"/>
  <c r="G10"/>
  <c r="F10" s="1"/>
  <c r="X12" i="6" s="1"/>
  <c r="Y12" s="1"/>
  <c r="E10" i="13"/>
  <c r="G9"/>
  <c r="F9" s="1"/>
  <c r="S12" i="6" s="1"/>
  <c r="T12" s="1"/>
  <c r="E9" i="13"/>
  <c r="E23" s="1"/>
  <c r="E24" s="1"/>
  <c r="E8"/>
  <c r="G8" s="1"/>
  <c r="F8" s="1"/>
  <c r="N12" i="6" s="1"/>
  <c r="O12" s="1"/>
  <c r="G7" i="13"/>
  <c r="F7" s="1"/>
  <c r="I12" i="6" s="1"/>
  <c r="J12" s="1"/>
  <c r="E7" i="13"/>
  <c r="F27" i="12"/>
  <c r="D26"/>
  <c r="C26"/>
  <c r="F21"/>
  <c r="E21"/>
  <c r="G21" s="1"/>
  <c r="I21" s="1"/>
  <c r="H21" s="1"/>
  <c r="CA11" i="6" s="1"/>
  <c r="CB11" s="1"/>
  <c r="N20" i="12"/>
  <c r="L20"/>
  <c r="K20"/>
  <c r="J20"/>
  <c r="F20"/>
  <c r="G20" s="1"/>
  <c r="I20" s="1"/>
  <c r="H20" s="1"/>
  <c r="BV11" i="6" s="1"/>
  <c r="BW11" s="1"/>
  <c r="BW10" s="1"/>
  <c r="BX10" s="1"/>
  <c r="D24" i="3" s="1"/>
  <c r="E20" i="12"/>
  <c r="K19"/>
  <c r="J19"/>
  <c r="I19"/>
  <c r="G19"/>
  <c r="F19"/>
  <c r="E19"/>
  <c r="L19" s="1"/>
  <c r="F18"/>
  <c r="F26" s="1"/>
  <c r="E18"/>
  <c r="G18" s="1"/>
  <c r="I18" s="1"/>
  <c r="N17"/>
  <c r="L17"/>
  <c r="K17"/>
  <c r="J17"/>
  <c r="G17"/>
  <c r="I17" s="1"/>
  <c r="H17" s="1"/>
  <c r="BG11" i="6" s="1"/>
  <c r="BH11" s="1"/>
  <c r="F17" i="12"/>
  <c r="E17"/>
  <c r="L16"/>
  <c r="K16"/>
  <c r="J16"/>
  <c r="I16"/>
  <c r="H16" s="1"/>
  <c r="BB11" i="6" s="1"/>
  <c r="BC11" s="1"/>
  <c r="G16" i="12"/>
  <c r="F16"/>
  <c r="E16"/>
  <c r="N16" s="1"/>
  <c r="I15"/>
  <c r="G15"/>
  <c r="F15"/>
  <c r="E15"/>
  <c r="J15" s="1"/>
  <c r="K15" s="1"/>
  <c r="F14"/>
  <c r="E14"/>
  <c r="G14" s="1"/>
  <c r="I14" s="1"/>
  <c r="H14" s="1"/>
  <c r="AR11" i="6" s="1"/>
  <c r="AS11" s="1"/>
  <c r="N13" i="12"/>
  <c r="J13"/>
  <c r="I13"/>
  <c r="G13"/>
  <c r="F13"/>
  <c r="E13"/>
  <c r="G12"/>
  <c r="I12" s="1"/>
  <c r="H12" s="1"/>
  <c r="AH11" i="6" s="1"/>
  <c r="AI11" s="1"/>
  <c r="AI10" s="1"/>
  <c r="AJ10" s="1"/>
  <c r="D16" i="3" s="1"/>
  <c r="F12" i="12"/>
  <c r="E12"/>
  <c r="J12" s="1"/>
  <c r="K12" s="1"/>
  <c r="F11"/>
  <c r="E11"/>
  <c r="E26" s="1"/>
  <c r="N10"/>
  <c r="L10"/>
  <c r="K10"/>
  <c r="J10"/>
  <c r="F10"/>
  <c r="G10" s="1"/>
  <c r="I10" s="1"/>
  <c r="H10" s="1"/>
  <c r="X11" i="6" s="1"/>
  <c r="Y11" s="1"/>
  <c r="E10" i="12"/>
  <c r="K9"/>
  <c r="J9"/>
  <c r="I9"/>
  <c r="H9" s="1"/>
  <c r="S11" i="6" s="1"/>
  <c r="T11" s="1"/>
  <c r="G9" i="12"/>
  <c r="F9"/>
  <c r="E9"/>
  <c r="L9" s="1"/>
  <c r="G8"/>
  <c r="I8" s="1"/>
  <c r="H8" s="1"/>
  <c r="N11" i="6" s="1"/>
  <c r="O11" s="1"/>
  <c r="F8" i="12"/>
  <c r="E8"/>
  <c r="J8" s="1"/>
  <c r="K8" s="1"/>
  <c r="N7"/>
  <c r="L7"/>
  <c r="K7"/>
  <c r="J7"/>
  <c r="I7"/>
  <c r="G7"/>
  <c r="F7"/>
  <c r="E7"/>
  <c r="J6"/>
  <c r="I6"/>
  <c r="H6" s="1"/>
  <c r="D11" i="6" s="1"/>
  <c r="E11" s="1"/>
  <c r="E10" s="1"/>
  <c r="F10" s="1"/>
  <c r="D10" i="3" s="1"/>
  <c r="G6" i="12"/>
  <c r="F6"/>
  <c r="E6"/>
  <c r="D25" i="11"/>
  <c r="C25"/>
  <c r="E25" s="1"/>
  <c r="E24"/>
  <c r="D24"/>
  <c r="C24"/>
  <c r="E23"/>
  <c r="H21"/>
  <c r="G21"/>
  <c r="E21"/>
  <c r="H20"/>
  <c r="G20"/>
  <c r="E20"/>
  <c r="H19"/>
  <c r="G19"/>
  <c r="E19"/>
  <c r="G18"/>
  <c r="E18"/>
  <c r="H18" s="1"/>
  <c r="H17"/>
  <c r="G17"/>
  <c r="E17"/>
  <c r="H16"/>
  <c r="G16"/>
  <c r="E16"/>
  <c r="H15"/>
  <c r="G15"/>
  <c r="E15"/>
  <c r="H14"/>
  <c r="G14"/>
  <c r="H13"/>
  <c r="G13"/>
  <c r="E13"/>
  <c r="H12"/>
  <c r="G12"/>
  <c r="E12"/>
  <c r="G11"/>
  <c r="E11"/>
  <c r="H11" s="1"/>
  <c r="H10"/>
  <c r="G10"/>
  <c r="E10"/>
  <c r="H9"/>
  <c r="G9"/>
  <c r="E9"/>
  <c r="H8"/>
  <c r="G8"/>
  <c r="E8"/>
  <c r="G7"/>
  <c r="E7"/>
  <c r="H7" s="1"/>
  <c r="H6"/>
  <c r="G6"/>
  <c r="E28" i="10"/>
  <c r="D27"/>
  <c r="C27"/>
  <c r="E25"/>
  <c r="D25"/>
  <c r="C25"/>
  <c r="G21"/>
  <c r="F21"/>
  <c r="E21"/>
  <c r="E20"/>
  <c r="G20" s="1"/>
  <c r="F20" s="1"/>
  <c r="BV8" i="6" s="1"/>
  <c r="BW8" s="1"/>
  <c r="G19" i="10"/>
  <c r="F19" s="1"/>
  <c r="BQ8" i="6" s="1"/>
  <c r="BR8" s="1"/>
  <c r="E19" i="10"/>
  <c r="G18"/>
  <c r="F18" s="1"/>
  <c r="BL8" i="6" s="1"/>
  <c r="BM8" s="1"/>
  <c r="E18" i="10"/>
  <c r="G17"/>
  <c r="F17"/>
  <c r="E17"/>
  <c r="G16"/>
  <c r="E16"/>
  <c r="G15"/>
  <c r="F15" s="1"/>
  <c r="AW8" i="6" s="1"/>
  <c r="AX8" s="1"/>
  <c r="E15" i="10"/>
  <c r="G14"/>
  <c r="F14" s="1"/>
  <c r="AR8" i="6" s="1"/>
  <c r="AS8" s="1"/>
  <c r="E14" i="10"/>
  <c r="G13"/>
  <c r="E13"/>
  <c r="G12"/>
  <c r="E12"/>
  <c r="G11"/>
  <c r="E11"/>
  <c r="G10"/>
  <c r="F10" s="1"/>
  <c r="X8" i="6" s="1"/>
  <c r="Y8" s="1"/>
  <c r="E10" i="10"/>
  <c r="G9"/>
  <c r="E9"/>
  <c r="G8"/>
  <c r="F8" s="1"/>
  <c r="N8" i="6" s="1"/>
  <c r="O8" s="1"/>
  <c r="E8" i="10"/>
  <c r="E23" s="1"/>
  <c r="E24" s="1"/>
  <c r="G7"/>
  <c r="E7"/>
  <c r="G6"/>
  <c r="E6"/>
  <c r="D29" i="9"/>
  <c r="C29"/>
  <c r="F28"/>
  <c r="D27"/>
  <c r="C27"/>
  <c r="E21"/>
  <c r="F21" s="1"/>
  <c r="CA7" i="6" s="1"/>
  <c r="CB7" s="1"/>
  <c r="K20" i="9"/>
  <c r="F20"/>
  <c r="BV7" i="6" s="1"/>
  <c r="BW7" s="1"/>
  <c r="E20" i="9"/>
  <c r="K19"/>
  <c r="F19"/>
  <c r="E19"/>
  <c r="K18"/>
  <c r="F18"/>
  <c r="E18"/>
  <c r="K17"/>
  <c r="E17"/>
  <c r="F17" s="1"/>
  <c r="BG7" i="6" s="1"/>
  <c r="BH7" s="1"/>
  <c r="K16" i="9"/>
  <c r="F16"/>
  <c r="BB7" i="6" s="1"/>
  <c r="BC7" s="1"/>
  <c r="E16" i="9"/>
  <c r="K15"/>
  <c r="F15"/>
  <c r="E15"/>
  <c r="K14"/>
  <c r="F14"/>
  <c r="E14"/>
  <c r="K13"/>
  <c r="E13"/>
  <c r="F13" s="1"/>
  <c r="AM7" i="6" s="1"/>
  <c r="AN7" s="1"/>
  <c r="K12" i="9"/>
  <c r="F12"/>
  <c r="AH7" i="6" s="1"/>
  <c r="AI7" s="1"/>
  <c r="E12" i="9"/>
  <c r="K11"/>
  <c r="F11"/>
  <c r="E11"/>
  <c r="K10"/>
  <c r="F10"/>
  <c r="E10"/>
  <c r="K9"/>
  <c r="E9"/>
  <c r="F9" s="1"/>
  <c r="S7" i="6" s="1"/>
  <c r="T7" s="1"/>
  <c r="K8" i="9"/>
  <c r="F8"/>
  <c r="N7" i="6" s="1"/>
  <c r="O7" s="1"/>
  <c r="E8" i="9"/>
  <c r="K7"/>
  <c r="F7"/>
  <c r="E7"/>
  <c r="E23" s="1"/>
  <c r="E24" s="1"/>
  <c r="E6"/>
  <c r="F6" s="1"/>
  <c r="D7" i="6" s="1"/>
  <c r="E7" s="1"/>
  <c r="D29" i="8"/>
  <c r="D27"/>
  <c r="C27"/>
  <c r="C29" s="1"/>
  <c r="I21"/>
  <c r="E21"/>
  <c r="E20"/>
  <c r="G19"/>
  <c r="F19"/>
  <c r="H19" s="1"/>
  <c r="E19"/>
  <c r="E18"/>
  <c r="G18" s="1"/>
  <c r="F18" s="1"/>
  <c r="G17"/>
  <c r="F17" s="1"/>
  <c r="E17"/>
  <c r="H16"/>
  <c r="E16"/>
  <c r="G16" s="1"/>
  <c r="E15"/>
  <c r="G15" s="1"/>
  <c r="F15" s="1"/>
  <c r="G14"/>
  <c r="F14" s="1"/>
  <c r="E14"/>
  <c r="G13"/>
  <c r="F13" s="1"/>
  <c r="E13"/>
  <c r="E12"/>
  <c r="G12" s="1"/>
  <c r="F12" s="1"/>
  <c r="G11"/>
  <c r="F11" s="1"/>
  <c r="E11"/>
  <c r="G10"/>
  <c r="F10" s="1"/>
  <c r="E10"/>
  <c r="E9"/>
  <c r="G9" s="1"/>
  <c r="F9" s="1"/>
  <c r="G8"/>
  <c r="F8" s="1"/>
  <c r="E8"/>
  <c r="G7"/>
  <c r="F7" s="1"/>
  <c r="E7"/>
  <c r="E6"/>
  <c r="G6" s="1"/>
  <c r="F6" s="1"/>
  <c r="D29" i="7"/>
  <c r="C29"/>
  <c r="E27"/>
  <c r="D27"/>
  <c r="C27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F23" s="1"/>
  <c r="F24" s="1"/>
  <c r="AK38" i="6"/>
  <c r="AK37"/>
  <c r="BY35"/>
  <c r="BT35"/>
  <c r="BP35"/>
  <c r="BO35"/>
  <c r="BK35"/>
  <c r="BJ35"/>
  <c r="BE35"/>
  <c r="AZ35"/>
  <c r="AU35"/>
  <c r="AP35"/>
  <c r="AK35"/>
  <c r="AF35"/>
  <c r="AA35"/>
  <c r="V35"/>
  <c r="Q35"/>
  <c r="L35"/>
  <c r="G35"/>
  <c r="B35"/>
  <c r="CB34"/>
  <c r="BV34"/>
  <c r="BW34" s="1"/>
  <c r="BQ34"/>
  <c r="BR34" s="1"/>
  <c r="BL34"/>
  <c r="BM34" s="1"/>
  <c r="BH34"/>
  <c r="BG34"/>
  <c r="BC34"/>
  <c r="BB34"/>
  <c r="AX34"/>
  <c r="AW34"/>
  <c r="AR34"/>
  <c r="AS34" s="1"/>
  <c r="AM34"/>
  <c r="AN34" s="1"/>
  <c r="AH34"/>
  <c r="AI34" s="1"/>
  <c r="AD34"/>
  <c r="AC34"/>
  <c r="Y34"/>
  <c r="Y31" s="1"/>
  <c r="Z31" s="1"/>
  <c r="T34"/>
  <c r="T31" s="1"/>
  <c r="U31" s="1"/>
  <c r="O34"/>
  <c r="O31" s="1"/>
  <c r="P31" s="1"/>
  <c r="J34"/>
  <c r="I34"/>
  <c r="CB33"/>
  <c r="BV33"/>
  <c r="BW33" s="1"/>
  <c r="BU33"/>
  <c r="BR33"/>
  <c r="BQ33"/>
  <c r="BM33"/>
  <c r="BL33"/>
  <c r="BH33"/>
  <c r="BG33"/>
  <c r="BC33"/>
  <c r="BB33"/>
  <c r="AX33"/>
  <c r="AW33"/>
  <c r="AS33"/>
  <c r="AR33"/>
  <c r="AN33"/>
  <c r="AM33"/>
  <c r="AI33"/>
  <c r="AH33"/>
  <c r="AD33"/>
  <c r="AC33"/>
  <c r="Y33"/>
  <c r="T33"/>
  <c r="O33"/>
  <c r="I33"/>
  <c r="J33" s="1"/>
  <c r="H33"/>
  <c r="CB32"/>
  <c r="CB31" s="1"/>
  <c r="CC31" s="1"/>
  <c r="BW32"/>
  <c r="BV32"/>
  <c r="BR32"/>
  <c r="BR31" s="1"/>
  <c r="BS31" s="1"/>
  <c r="BQ32"/>
  <c r="BM32"/>
  <c r="BM31" s="1"/>
  <c r="BN31" s="1"/>
  <c r="G22" i="3" s="1"/>
  <c r="BL32" i="6"/>
  <c r="BG32"/>
  <c r="BH32" s="1"/>
  <c r="BH31" s="1"/>
  <c r="BI31" s="1"/>
  <c r="BB32"/>
  <c r="BC32" s="1"/>
  <c r="BC31" s="1"/>
  <c r="BD31" s="1"/>
  <c r="AW32"/>
  <c r="AX32" s="1"/>
  <c r="AX31" s="1"/>
  <c r="AY31" s="1"/>
  <c r="AS32"/>
  <c r="AS31" s="1"/>
  <c r="AT31" s="1"/>
  <c r="G18" i="3" s="1"/>
  <c r="AR32" i="6"/>
  <c r="AN32"/>
  <c r="AN31" s="1"/>
  <c r="AO31" s="1"/>
  <c r="AM32"/>
  <c r="AI32"/>
  <c r="AH32"/>
  <c r="AC32"/>
  <c r="AD32" s="1"/>
  <c r="AD31" s="1"/>
  <c r="AE31" s="1"/>
  <c r="G15" i="3" s="1"/>
  <c r="Y32" i="6"/>
  <c r="T32"/>
  <c r="O32"/>
  <c r="J32"/>
  <c r="BU31"/>
  <c r="AQ31"/>
  <c r="AG31"/>
  <c r="AB31"/>
  <c r="H31"/>
  <c r="F31"/>
  <c r="E31"/>
  <c r="CB30"/>
  <c r="CB28" s="1"/>
  <c r="CC28" s="1"/>
  <c r="BW30"/>
  <c r="BV30"/>
  <c r="BR30"/>
  <c r="BQ30"/>
  <c r="BL30"/>
  <c r="BM30" s="1"/>
  <c r="BM28" s="1"/>
  <c r="BN28" s="1"/>
  <c r="F22" i="3" s="1"/>
  <c r="BG30" i="6"/>
  <c r="BH30" s="1"/>
  <c r="BH28" s="1"/>
  <c r="BI28" s="1"/>
  <c r="BB30"/>
  <c r="BC30" s="1"/>
  <c r="BC28" s="1"/>
  <c r="BD28" s="1"/>
  <c r="AX30"/>
  <c r="AX28" s="1"/>
  <c r="AY28" s="1"/>
  <c r="AW30"/>
  <c r="AS30"/>
  <c r="AS28" s="1"/>
  <c r="AT28" s="1"/>
  <c r="AR30"/>
  <c r="AN30"/>
  <c r="AM30"/>
  <c r="AH30"/>
  <c r="AI30" s="1"/>
  <c r="AI28" s="1"/>
  <c r="AJ28" s="1"/>
  <c r="AC30"/>
  <c r="AD30" s="1"/>
  <c r="AD28" s="1"/>
  <c r="AE28" s="1"/>
  <c r="X30"/>
  <c r="Y30" s="1"/>
  <c r="Y28" s="1"/>
  <c r="Z28" s="1"/>
  <c r="T30"/>
  <c r="S30"/>
  <c r="O30"/>
  <c r="N30"/>
  <c r="J30"/>
  <c r="I30"/>
  <c r="E30"/>
  <c r="CB29"/>
  <c r="BV29"/>
  <c r="BW29" s="1"/>
  <c r="BW28" s="1"/>
  <c r="BX28" s="1"/>
  <c r="BU29"/>
  <c r="BR29"/>
  <c r="BR28" s="1"/>
  <c r="BS28" s="1"/>
  <c r="BQ29"/>
  <c r="BM29"/>
  <c r="BL29"/>
  <c r="BH29"/>
  <c r="BG29"/>
  <c r="BC29"/>
  <c r="BB29"/>
  <c r="AX29"/>
  <c r="AW29"/>
  <c r="AS29"/>
  <c r="AR29"/>
  <c r="AN29"/>
  <c r="AN28" s="1"/>
  <c r="AO28" s="1"/>
  <c r="F17" i="3" s="1"/>
  <c r="AM29" i="6"/>
  <c r="AI29"/>
  <c r="AH29"/>
  <c r="AD29"/>
  <c r="AC29"/>
  <c r="Y29"/>
  <c r="X29"/>
  <c r="T29"/>
  <c r="T28" s="1"/>
  <c r="U28" s="1"/>
  <c r="S29"/>
  <c r="O29"/>
  <c r="O28" s="1"/>
  <c r="P28" s="1"/>
  <c r="N29"/>
  <c r="J29"/>
  <c r="J28" s="1"/>
  <c r="K28" s="1"/>
  <c r="F11" i="3" s="1"/>
  <c r="I29" i="6"/>
  <c r="E29"/>
  <c r="BU28"/>
  <c r="BP28"/>
  <c r="AL28"/>
  <c r="H28"/>
  <c r="H35" s="1"/>
  <c r="F28"/>
  <c r="E28"/>
  <c r="CB27"/>
  <c r="CA27"/>
  <c r="BW27"/>
  <c r="BV27"/>
  <c r="BQ27"/>
  <c r="BR27" s="1"/>
  <c r="BL27"/>
  <c r="BM27" s="1"/>
  <c r="BG27"/>
  <c r="BH27" s="1"/>
  <c r="BC27"/>
  <c r="BB27"/>
  <c r="AX27"/>
  <c r="AW27"/>
  <c r="AS27"/>
  <c r="AR27"/>
  <c r="AM27"/>
  <c r="AN27" s="1"/>
  <c r="AH27"/>
  <c r="AI27" s="1"/>
  <c r="AC27"/>
  <c r="AD27" s="1"/>
  <c r="AD22" s="1"/>
  <c r="AE22" s="1"/>
  <c r="E15" i="3" s="1"/>
  <c r="Y27" i="6"/>
  <c r="Y22" s="1"/>
  <c r="Z22" s="1"/>
  <c r="E14" i="3" s="1"/>
  <c r="X27" i="6"/>
  <c r="T27"/>
  <c r="S27"/>
  <c r="O27"/>
  <c r="N27"/>
  <c r="I27"/>
  <c r="J27" s="1"/>
  <c r="D27"/>
  <c r="E27" s="1"/>
  <c r="CA26"/>
  <c r="CB26" s="1"/>
  <c r="BZ26"/>
  <c r="BW26"/>
  <c r="BV26"/>
  <c r="BU26"/>
  <c r="BR26"/>
  <c r="BQ26"/>
  <c r="BP26"/>
  <c r="BM26"/>
  <c r="BL26"/>
  <c r="BG26"/>
  <c r="BF26"/>
  <c r="BH26" s="1"/>
  <c r="BC26"/>
  <c r="BB26"/>
  <c r="BA26"/>
  <c r="AX26"/>
  <c r="AW26"/>
  <c r="AV26"/>
  <c r="AR26"/>
  <c r="AS26" s="1"/>
  <c r="AM26"/>
  <c r="AN26" s="1"/>
  <c r="AL26"/>
  <c r="AI26"/>
  <c r="AH26"/>
  <c r="AD26"/>
  <c r="AC26"/>
  <c r="Y26"/>
  <c r="X26"/>
  <c r="W26"/>
  <c r="S26"/>
  <c r="T26" s="1"/>
  <c r="R26"/>
  <c r="N26"/>
  <c r="M26"/>
  <c r="O26" s="1"/>
  <c r="J26"/>
  <c r="I26"/>
  <c r="H26"/>
  <c r="E26"/>
  <c r="D26"/>
  <c r="C26"/>
  <c r="CA25"/>
  <c r="CB25" s="1"/>
  <c r="BV25"/>
  <c r="BW25" s="1"/>
  <c r="BQ25"/>
  <c r="BR25" s="1"/>
  <c r="BM25"/>
  <c r="BL25"/>
  <c r="BH25"/>
  <c r="BG25"/>
  <c r="BC25"/>
  <c r="BB25"/>
  <c r="AW25"/>
  <c r="AX25" s="1"/>
  <c r="AX22" s="1"/>
  <c r="AY22" s="1"/>
  <c r="E19" i="3" s="1"/>
  <c r="AR25" i="6"/>
  <c r="AS25" s="1"/>
  <c r="AM25"/>
  <c r="AN25" s="1"/>
  <c r="AI25"/>
  <c r="AH25"/>
  <c r="AD25"/>
  <c r="AC25"/>
  <c r="Y25"/>
  <c r="X25"/>
  <c r="S25"/>
  <c r="T25" s="1"/>
  <c r="N25"/>
  <c r="O25" s="1"/>
  <c r="I25"/>
  <c r="J25" s="1"/>
  <c r="E25"/>
  <c r="E22" s="1"/>
  <c r="F22" s="1"/>
  <c r="E10" i="3" s="1"/>
  <c r="D25" i="6"/>
  <c r="CB24"/>
  <c r="CA24"/>
  <c r="BZ24"/>
  <c r="BW24"/>
  <c r="BV24"/>
  <c r="BU24"/>
  <c r="BQ24"/>
  <c r="BR24" s="1"/>
  <c r="BR22" s="1"/>
  <c r="BS22" s="1"/>
  <c r="E23" i="3" s="1"/>
  <c r="BP24" i="6"/>
  <c r="BM24"/>
  <c r="BM22" s="1"/>
  <c r="BN22" s="1"/>
  <c r="E22" i="3" s="1"/>
  <c r="BL24" i="6"/>
  <c r="BH24"/>
  <c r="BG24"/>
  <c r="BF24"/>
  <c r="BC24"/>
  <c r="BB24"/>
  <c r="BA24"/>
  <c r="AX24"/>
  <c r="AW24"/>
  <c r="AV24"/>
  <c r="AR24"/>
  <c r="AS24" s="1"/>
  <c r="AN24"/>
  <c r="AM24"/>
  <c r="AL24"/>
  <c r="AI24"/>
  <c r="AH24"/>
  <c r="AD24"/>
  <c r="AC24"/>
  <c r="Y24"/>
  <c r="X24"/>
  <c r="W24"/>
  <c r="S24"/>
  <c r="T24" s="1"/>
  <c r="R24"/>
  <c r="O24"/>
  <c r="N24"/>
  <c r="M24"/>
  <c r="J24"/>
  <c r="I24"/>
  <c r="H24"/>
  <c r="E24"/>
  <c r="D24"/>
  <c r="C24"/>
  <c r="CA23"/>
  <c r="CB23" s="1"/>
  <c r="CB22" s="1"/>
  <c r="CC22" s="1"/>
  <c r="E25" i="3" s="1"/>
  <c r="BZ23" i="6"/>
  <c r="BW23"/>
  <c r="BW22" s="1"/>
  <c r="BX22" s="1"/>
  <c r="E24" i="3" s="1"/>
  <c r="BV23" i="6"/>
  <c r="BU23"/>
  <c r="BR23"/>
  <c r="BQ23"/>
  <c r="BP23"/>
  <c r="BM23"/>
  <c r="BL23"/>
  <c r="BG23"/>
  <c r="BF23"/>
  <c r="BH23" s="1"/>
  <c r="BC23"/>
  <c r="BC22" s="1"/>
  <c r="BD22" s="1"/>
  <c r="E20" i="3" s="1"/>
  <c r="BB23" i="6"/>
  <c r="BA23"/>
  <c r="AX23"/>
  <c r="AW23"/>
  <c r="AV23"/>
  <c r="AR23"/>
  <c r="AS23" s="1"/>
  <c r="AM23"/>
  <c r="AN23" s="1"/>
  <c r="AL23"/>
  <c r="AI23"/>
  <c r="AI22" s="1"/>
  <c r="AJ22" s="1"/>
  <c r="E16" i="3" s="1"/>
  <c r="AH23" i="6"/>
  <c r="AD23"/>
  <c r="AC23"/>
  <c r="Y23"/>
  <c r="X23"/>
  <c r="W23"/>
  <c r="S23"/>
  <c r="T23" s="1"/>
  <c r="R23"/>
  <c r="N23"/>
  <c r="M23"/>
  <c r="O23" s="1"/>
  <c r="J23"/>
  <c r="I23"/>
  <c r="H23"/>
  <c r="E23"/>
  <c r="D23"/>
  <c r="C23"/>
  <c r="BZ22"/>
  <c r="BU22"/>
  <c r="BP22"/>
  <c r="BF22"/>
  <c r="BA22"/>
  <c r="AV22"/>
  <c r="AQ22"/>
  <c r="AL22"/>
  <c r="AG22"/>
  <c r="AB22"/>
  <c r="W22"/>
  <c r="R22"/>
  <c r="M22"/>
  <c r="C22"/>
  <c r="CB21"/>
  <c r="CA21"/>
  <c r="BZ21"/>
  <c r="BW21"/>
  <c r="BV21"/>
  <c r="BU21"/>
  <c r="BQ21"/>
  <c r="BR21" s="1"/>
  <c r="BP21"/>
  <c r="BM21"/>
  <c r="BL21"/>
  <c r="BK21"/>
  <c r="BH21"/>
  <c r="BG21"/>
  <c r="BF21"/>
  <c r="BC21"/>
  <c r="BB21"/>
  <c r="BA21"/>
  <c r="AW21"/>
  <c r="AX21" s="1"/>
  <c r="AV21"/>
  <c r="AS21"/>
  <c r="AR21"/>
  <c r="AQ21"/>
  <c r="AN21"/>
  <c r="AM21"/>
  <c r="AL21"/>
  <c r="AI21"/>
  <c r="AH21"/>
  <c r="AG21"/>
  <c r="AC21"/>
  <c r="AD21" s="1"/>
  <c r="AB21"/>
  <c r="Y21"/>
  <c r="X21"/>
  <c r="W21"/>
  <c r="T21"/>
  <c r="S21"/>
  <c r="R21"/>
  <c r="O21"/>
  <c r="N21"/>
  <c r="M21"/>
  <c r="I21"/>
  <c r="J21" s="1"/>
  <c r="H21"/>
  <c r="E21"/>
  <c r="D21"/>
  <c r="C21"/>
  <c r="CB20"/>
  <c r="CA20"/>
  <c r="BZ20"/>
  <c r="BW20"/>
  <c r="BV20"/>
  <c r="BU20"/>
  <c r="BQ20"/>
  <c r="BR20" s="1"/>
  <c r="BP20"/>
  <c r="BM20"/>
  <c r="BL20"/>
  <c r="BK20"/>
  <c r="BH20"/>
  <c r="BG20"/>
  <c r="BF20"/>
  <c r="BC20"/>
  <c r="BB20"/>
  <c r="BA20"/>
  <c r="AW20"/>
  <c r="AX20" s="1"/>
  <c r="AV20"/>
  <c r="AS20"/>
  <c r="AR20"/>
  <c r="AQ20"/>
  <c r="AN20"/>
  <c r="AM20"/>
  <c r="AL20"/>
  <c r="AI20"/>
  <c r="AH20"/>
  <c r="AG20"/>
  <c r="AC20"/>
  <c r="AD20" s="1"/>
  <c r="AB20"/>
  <c r="Y20"/>
  <c r="X20"/>
  <c r="W20"/>
  <c r="T20"/>
  <c r="S20"/>
  <c r="R20"/>
  <c r="O20"/>
  <c r="N20"/>
  <c r="M20"/>
  <c r="I20"/>
  <c r="J20" s="1"/>
  <c r="H20"/>
  <c r="E20"/>
  <c r="D20"/>
  <c r="C20"/>
  <c r="CB19"/>
  <c r="CA19"/>
  <c r="BZ19"/>
  <c r="BW19"/>
  <c r="BV19"/>
  <c r="BU19"/>
  <c r="BQ19"/>
  <c r="BR19" s="1"/>
  <c r="BP19"/>
  <c r="BM19"/>
  <c r="BL19"/>
  <c r="BK19"/>
  <c r="BH19"/>
  <c r="BG19"/>
  <c r="BF19"/>
  <c r="BC19"/>
  <c r="BB19"/>
  <c r="BA19"/>
  <c r="AW19"/>
  <c r="AX19" s="1"/>
  <c r="AV19"/>
  <c r="AS19"/>
  <c r="AR19"/>
  <c r="AQ19"/>
  <c r="AN19"/>
  <c r="AM19"/>
  <c r="AL19"/>
  <c r="AI19"/>
  <c r="AH19"/>
  <c r="AG19"/>
  <c r="AC19"/>
  <c r="AD19" s="1"/>
  <c r="AB19"/>
  <c r="Y19"/>
  <c r="X19"/>
  <c r="W19"/>
  <c r="T19"/>
  <c r="S19"/>
  <c r="R19"/>
  <c r="O19"/>
  <c r="N19"/>
  <c r="M19"/>
  <c r="I19"/>
  <c r="J19" s="1"/>
  <c r="H19"/>
  <c r="E19"/>
  <c r="D19"/>
  <c r="C19"/>
  <c r="CB18"/>
  <c r="CA18"/>
  <c r="BZ18"/>
  <c r="BW18"/>
  <c r="BV18"/>
  <c r="BU18"/>
  <c r="BQ18"/>
  <c r="BR18" s="1"/>
  <c r="BP18"/>
  <c r="BM18"/>
  <c r="BL18"/>
  <c r="BK18"/>
  <c r="BH18"/>
  <c r="BG18"/>
  <c r="BF18"/>
  <c r="BC18"/>
  <c r="BB18"/>
  <c r="BA18"/>
  <c r="AW18"/>
  <c r="AX18" s="1"/>
  <c r="AV18"/>
  <c r="AS18"/>
  <c r="AR18"/>
  <c r="AQ18"/>
  <c r="AN18"/>
  <c r="AM18"/>
  <c r="AL18"/>
  <c r="AI18"/>
  <c r="AH18"/>
  <c r="AG18"/>
  <c r="AC18"/>
  <c r="AD18" s="1"/>
  <c r="AB18"/>
  <c r="Y18"/>
  <c r="X18"/>
  <c r="W18"/>
  <c r="T18"/>
  <c r="S18"/>
  <c r="R18"/>
  <c r="O18"/>
  <c r="N18"/>
  <c r="M18"/>
  <c r="I18"/>
  <c r="J18" s="1"/>
  <c r="H18"/>
  <c r="E18"/>
  <c r="D18"/>
  <c r="C18"/>
  <c r="CB17"/>
  <c r="CA17"/>
  <c r="BZ17"/>
  <c r="BW17"/>
  <c r="BV17"/>
  <c r="BU17"/>
  <c r="BQ17"/>
  <c r="BR17" s="1"/>
  <c r="BP17"/>
  <c r="BM17"/>
  <c r="BL17"/>
  <c r="BK17"/>
  <c r="BH17"/>
  <c r="BG17"/>
  <c r="BF17"/>
  <c r="BC17"/>
  <c r="BB17"/>
  <c r="BA17"/>
  <c r="AW17"/>
  <c r="AX17" s="1"/>
  <c r="AV17"/>
  <c r="AS17"/>
  <c r="AR17"/>
  <c r="AQ17"/>
  <c r="AN17"/>
  <c r="AM17"/>
  <c r="AL17"/>
  <c r="AI17"/>
  <c r="AH17"/>
  <c r="AG17"/>
  <c r="AC17"/>
  <c r="AD17" s="1"/>
  <c r="AB17"/>
  <c r="Y17"/>
  <c r="X17"/>
  <c r="W17"/>
  <c r="T17"/>
  <c r="S17"/>
  <c r="R17"/>
  <c r="O17"/>
  <c r="N17"/>
  <c r="M17"/>
  <c r="I17"/>
  <c r="J17" s="1"/>
  <c r="H17"/>
  <c r="E17"/>
  <c r="D17"/>
  <c r="C17"/>
  <c r="CB16"/>
  <c r="CA16"/>
  <c r="BZ16"/>
  <c r="BW16"/>
  <c r="BV16"/>
  <c r="BU16"/>
  <c r="BQ16"/>
  <c r="BR16" s="1"/>
  <c r="BP16"/>
  <c r="BM16"/>
  <c r="BL16"/>
  <c r="BK16"/>
  <c r="BH16"/>
  <c r="BG16"/>
  <c r="BF16"/>
  <c r="BC16"/>
  <c r="BB16"/>
  <c r="BA16"/>
  <c r="AW16"/>
  <c r="AX16" s="1"/>
  <c r="AV16"/>
  <c r="AS16"/>
  <c r="AR16"/>
  <c r="AQ16"/>
  <c r="AN16"/>
  <c r="AM16"/>
  <c r="AL16"/>
  <c r="AI16"/>
  <c r="AH16"/>
  <c r="AG16"/>
  <c r="AC16"/>
  <c r="AD16" s="1"/>
  <c r="AB16"/>
  <c r="Y16"/>
  <c r="X16"/>
  <c r="W16"/>
  <c r="T16"/>
  <c r="S16"/>
  <c r="R16"/>
  <c r="O16"/>
  <c r="N16"/>
  <c r="M16"/>
  <c r="I16"/>
  <c r="J16" s="1"/>
  <c r="H16"/>
  <c r="E16"/>
  <c r="D16"/>
  <c r="C16"/>
  <c r="CB15"/>
  <c r="CA15"/>
  <c r="BZ15"/>
  <c r="BW15"/>
  <c r="BV15"/>
  <c r="BU15"/>
  <c r="BQ15"/>
  <c r="BR15" s="1"/>
  <c r="BP15"/>
  <c r="BM15"/>
  <c r="BL15"/>
  <c r="BK15"/>
  <c r="BH15"/>
  <c r="BG15"/>
  <c r="BF15"/>
  <c r="BC15"/>
  <c r="BB15"/>
  <c r="BA15"/>
  <c r="AW15"/>
  <c r="AX15" s="1"/>
  <c r="AV15"/>
  <c r="AS15"/>
  <c r="AR15"/>
  <c r="AQ15"/>
  <c r="AN15"/>
  <c r="AM15"/>
  <c r="AL15"/>
  <c r="AI15"/>
  <c r="AH15"/>
  <c r="AG15"/>
  <c r="AC15"/>
  <c r="AD15" s="1"/>
  <c r="AB15"/>
  <c r="Y15"/>
  <c r="X15"/>
  <c r="W15"/>
  <c r="T15"/>
  <c r="S15"/>
  <c r="R15"/>
  <c r="O15"/>
  <c r="N15"/>
  <c r="M15"/>
  <c r="I15"/>
  <c r="J15" s="1"/>
  <c r="H15"/>
  <c r="E15"/>
  <c r="D15"/>
  <c r="C15"/>
  <c r="BR14"/>
  <c r="BQ14"/>
  <c r="BP14"/>
  <c r="BK14"/>
  <c r="BG14"/>
  <c r="BH14" s="1"/>
  <c r="BF14"/>
  <c r="BA14"/>
  <c r="AV14"/>
  <c r="AM14"/>
  <c r="AG14"/>
  <c r="AD14"/>
  <c r="AC14"/>
  <c r="AB14"/>
  <c r="X14"/>
  <c r="S14"/>
  <c r="O14"/>
  <c r="N14"/>
  <c r="M14"/>
  <c r="I14"/>
  <c r="H14"/>
  <c r="CA13"/>
  <c r="CB13" s="1"/>
  <c r="BW13"/>
  <c r="BV13"/>
  <c r="BU13"/>
  <c r="BR13"/>
  <c r="BQ13"/>
  <c r="BP13"/>
  <c r="BM13"/>
  <c r="BL13"/>
  <c r="BK13"/>
  <c r="BH13"/>
  <c r="BG13"/>
  <c r="BF13"/>
  <c r="BC13"/>
  <c r="BB13"/>
  <c r="BA13"/>
  <c r="AX13"/>
  <c r="AW13"/>
  <c r="AV13"/>
  <c r="AS13"/>
  <c r="AR13"/>
  <c r="AQ13"/>
  <c r="AN13"/>
  <c r="AM13"/>
  <c r="AL13"/>
  <c r="AI13"/>
  <c r="AH13"/>
  <c r="AG13"/>
  <c r="AD13"/>
  <c r="AC13"/>
  <c r="AB13"/>
  <c r="Y13"/>
  <c r="X13"/>
  <c r="W13"/>
  <c r="T13"/>
  <c r="S13"/>
  <c r="R13"/>
  <c r="O13"/>
  <c r="N13"/>
  <c r="M13"/>
  <c r="J13"/>
  <c r="I13"/>
  <c r="H13"/>
  <c r="E13"/>
  <c r="D13"/>
  <c r="CB12"/>
  <c r="CA12"/>
  <c r="BU12"/>
  <c r="BP12"/>
  <c r="BK12"/>
  <c r="BF12"/>
  <c r="BA12"/>
  <c r="AV12"/>
  <c r="AQ12"/>
  <c r="AL12"/>
  <c r="AG12"/>
  <c r="AB12"/>
  <c r="W12"/>
  <c r="R12"/>
  <c r="M12"/>
  <c r="H12"/>
  <c r="E12"/>
  <c r="D12"/>
  <c r="BZ11"/>
  <c r="BU11"/>
  <c r="BR11"/>
  <c r="BR10" s="1"/>
  <c r="BS10" s="1"/>
  <c r="D23" i="3" s="1"/>
  <c r="BQ11" i="6"/>
  <c r="BP11"/>
  <c r="BM11"/>
  <c r="BM10" s="1"/>
  <c r="BN10" s="1"/>
  <c r="D22" i="3" s="1"/>
  <c r="BL11" i="6"/>
  <c r="BK11"/>
  <c r="BF11"/>
  <c r="BA11"/>
  <c r="AX11"/>
  <c r="AW11"/>
  <c r="AV11"/>
  <c r="AQ11"/>
  <c r="AN11"/>
  <c r="AM11"/>
  <c r="AL11"/>
  <c r="AG11"/>
  <c r="AB11"/>
  <c r="W11"/>
  <c r="R11"/>
  <c r="M11"/>
  <c r="J11"/>
  <c r="I11"/>
  <c r="H11"/>
  <c r="C11"/>
  <c r="BZ10"/>
  <c r="BU10"/>
  <c r="BP10"/>
  <c r="BF10"/>
  <c r="BA10"/>
  <c r="AV10"/>
  <c r="AV35" s="1"/>
  <c r="AQ10"/>
  <c r="AL10"/>
  <c r="AG10"/>
  <c r="AB10"/>
  <c r="AB35" s="1"/>
  <c r="W10"/>
  <c r="R10"/>
  <c r="M10"/>
  <c r="C10"/>
  <c r="C35" s="1"/>
  <c r="CB9"/>
  <c r="CA9"/>
  <c r="BZ9"/>
  <c r="BW9"/>
  <c r="BV9"/>
  <c r="BU9"/>
  <c r="BQ9"/>
  <c r="BR9" s="1"/>
  <c r="BP9"/>
  <c r="BM9"/>
  <c r="BL9"/>
  <c r="BK9"/>
  <c r="BH9"/>
  <c r="BG9"/>
  <c r="BF9"/>
  <c r="BC9"/>
  <c r="BB9"/>
  <c r="BA9"/>
  <c r="AW9"/>
  <c r="AX9" s="1"/>
  <c r="AV9"/>
  <c r="AS9"/>
  <c r="AR9"/>
  <c r="AQ9"/>
  <c r="AN9"/>
  <c r="AM9"/>
  <c r="AL9"/>
  <c r="AI9"/>
  <c r="AH9"/>
  <c r="AG9"/>
  <c r="AC9"/>
  <c r="AD9" s="1"/>
  <c r="AB9"/>
  <c r="Y9"/>
  <c r="X9"/>
  <c r="W9"/>
  <c r="T9"/>
  <c r="S9"/>
  <c r="R9"/>
  <c r="O9"/>
  <c r="N9"/>
  <c r="M9"/>
  <c r="I9"/>
  <c r="J9" s="1"/>
  <c r="H9"/>
  <c r="E9"/>
  <c r="D9"/>
  <c r="C9"/>
  <c r="CB8"/>
  <c r="CA8"/>
  <c r="BZ8"/>
  <c r="BU8"/>
  <c r="BP8"/>
  <c r="BK8"/>
  <c r="BH8"/>
  <c r="BG8"/>
  <c r="BF8"/>
  <c r="BC8"/>
  <c r="BB8"/>
  <c r="BA8"/>
  <c r="AV8"/>
  <c r="AQ8"/>
  <c r="AN8"/>
  <c r="AM8"/>
  <c r="AL8"/>
  <c r="AI8"/>
  <c r="AH8"/>
  <c r="AG8"/>
  <c r="AC8"/>
  <c r="AD8" s="1"/>
  <c r="AB8"/>
  <c r="W8"/>
  <c r="T8"/>
  <c r="S8"/>
  <c r="R8"/>
  <c r="M8"/>
  <c r="I8"/>
  <c r="J8" s="1"/>
  <c r="H8"/>
  <c r="E8"/>
  <c r="D8"/>
  <c r="C8"/>
  <c r="BZ7"/>
  <c r="BU7"/>
  <c r="BQ7"/>
  <c r="BR7" s="1"/>
  <c r="BP7"/>
  <c r="BM7"/>
  <c r="BL7"/>
  <c r="BK7"/>
  <c r="BF7"/>
  <c r="BA7"/>
  <c r="AW7"/>
  <c r="AX7" s="1"/>
  <c r="AV7"/>
  <c r="AS7"/>
  <c r="AR7"/>
  <c r="AQ7"/>
  <c r="AL7"/>
  <c r="AG7"/>
  <c r="AC7"/>
  <c r="AD7" s="1"/>
  <c r="AB7"/>
  <c r="Y7"/>
  <c r="X7"/>
  <c r="W7"/>
  <c r="R7"/>
  <c r="M7"/>
  <c r="I7"/>
  <c r="J7" s="1"/>
  <c r="H7"/>
  <c r="C7"/>
  <c r="CB6"/>
  <c r="CA6"/>
  <c r="BW6"/>
  <c r="BV6"/>
  <c r="BU6"/>
  <c r="BP6"/>
  <c r="BK6"/>
  <c r="BF6"/>
  <c r="BA6"/>
  <c r="AV6"/>
  <c r="AQ6"/>
  <c r="AL6"/>
  <c r="AG6"/>
  <c r="AB6"/>
  <c r="W6"/>
  <c r="R6"/>
  <c r="M6"/>
  <c r="I6"/>
  <c r="H6"/>
  <c r="J6" s="1"/>
  <c r="E6"/>
  <c r="D6"/>
  <c r="CB5"/>
  <c r="CB4" s="1"/>
  <c r="CC4" s="1"/>
  <c r="CA5"/>
  <c r="BZ5"/>
  <c r="BW5"/>
  <c r="BW4" s="1"/>
  <c r="BX4" s="1"/>
  <c r="BV5"/>
  <c r="BU5"/>
  <c r="BR5"/>
  <c r="BQ5"/>
  <c r="BP5"/>
  <c r="BL5"/>
  <c r="BM5" s="1"/>
  <c r="BK5"/>
  <c r="BH5"/>
  <c r="BG5"/>
  <c r="BF5"/>
  <c r="BC5"/>
  <c r="BB5"/>
  <c r="BA5"/>
  <c r="AX5"/>
  <c r="AW5"/>
  <c r="AV5"/>
  <c r="AR5"/>
  <c r="AS5" s="1"/>
  <c r="AQ5"/>
  <c r="AN5"/>
  <c r="AM5"/>
  <c r="AL5"/>
  <c r="AI5"/>
  <c r="AH5"/>
  <c r="AG5"/>
  <c r="AD5"/>
  <c r="AC5"/>
  <c r="AB5"/>
  <c r="X5"/>
  <c r="Y5" s="1"/>
  <c r="W5"/>
  <c r="T5"/>
  <c r="S5"/>
  <c r="R5"/>
  <c r="O5"/>
  <c r="N5"/>
  <c r="M5"/>
  <c r="J5"/>
  <c r="I5"/>
  <c r="H5"/>
  <c r="D5"/>
  <c r="E5" s="1"/>
  <c r="E4" s="1"/>
  <c r="F4" s="1"/>
  <c r="C5"/>
  <c r="BZ4"/>
  <c r="BZ35" s="1"/>
  <c r="BU4"/>
  <c r="BU35" s="1"/>
  <c r="BP4"/>
  <c r="BF4"/>
  <c r="BF35" s="1"/>
  <c r="BA4"/>
  <c r="BA35" s="1"/>
  <c r="AV4"/>
  <c r="AQ4"/>
  <c r="AQ35" s="1"/>
  <c r="AL4"/>
  <c r="AL35" s="1"/>
  <c r="AG4"/>
  <c r="AG35" s="1"/>
  <c r="AB4"/>
  <c r="W4"/>
  <c r="W35" s="1"/>
  <c r="R4"/>
  <c r="R35" s="1"/>
  <c r="M4"/>
  <c r="M35" s="1"/>
  <c r="C4"/>
  <c r="J23" i="4"/>
  <c r="J24" s="1"/>
  <c r="H23"/>
  <c r="H24" s="1"/>
  <c r="N22"/>
  <c r="K22"/>
  <c r="I22"/>
  <c r="N21"/>
  <c r="K21"/>
  <c r="I21"/>
  <c r="N20"/>
  <c r="K20"/>
  <c r="I20"/>
  <c r="K19"/>
  <c r="N19" s="1"/>
  <c r="I19"/>
  <c r="N18"/>
  <c r="K18"/>
  <c r="I18"/>
  <c r="N17"/>
  <c r="K17"/>
  <c r="I17"/>
  <c r="N16"/>
  <c r="K16"/>
  <c r="I16"/>
  <c r="K15"/>
  <c r="N15" s="1"/>
  <c r="I15"/>
  <c r="N14"/>
  <c r="K14"/>
  <c r="I14"/>
  <c r="I12"/>
  <c r="K12" s="1"/>
  <c r="N12" s="1"/>
  <c r="N11"/>
  <c r="K11"/>
  <c r="I11"/>
  <c r="N10"/>
  <c r="K10"/>
  <c r="I10"/>
  <c r="H9"/>
  <c r="E9"/>
  <c r="E23" s="1"/>
  <c r="E24" s="1"/>
  <c r="D9"/>
  <c r="D23" s="1"/>
  <c r="D24" s="1"/>
  <c r="C9"/>
  <c r="W28" i="3"/>
  <c r="I33" i="2"/>
  <c r="G29" i="1"/>
  <c r="H15" i="8" l="1"/>
  <c r="N6" i="6"/>
  <c r="O6" s="1"/>
  <c r="O4" s="1"/>
  <c r="H14" i="8"/>
  <c r="X6" i="6"/>
  <c r="Y6" s="1"/>
  <c r="Y4" s="1"/>
  <c r="Z4" s="1"/>
  <c r="BH10"/>
  <c r="BI10" s="1"/>
  <c r="D21" i="3" s="1"/>
  <c r="J4" i="6"/>
  <c r="K4" s="1"/>
  <c r="AC6"/>
  <c r="AD6" s="1"/>
  <c r="AD4" s="1"/>
  <c r="AE4" s="1"/>
  <c r="H6" i="8"/>
  <c r="AW6" i="6"/>
  <c r="AX6" s="1"/>
  <c r="AX4" s="1"/>
  <c r="AY4" s="1"/>
  <c r="H13" i="8"/>
  <c r="AS22" i="6"/>
  <c r="AT22" s="1"/>
  <c r="E18" i="3" s="1"/>
  <c r="BL6" i="6"/>
  <c r="BM6" s="1"/>
  <c r="BM4" s="1"/>
  <c r="BN4" s="1"/>
  <c r="H8" i="8"/>
  <c r="O10" i="6"/>
  <c r="P10" s="1"/>
  <c r="D12" i="3" s="1"/>
  <c r="BQ6" i="6"/>
  <c r="BR6" s="1"/>
  <c r="BR4" s="1"/>
  <c r="BS4" s="1"/>
  <c r="H7" i="8"/>
  <c r="H12"/>
  <c r="BB6" i="6"/>
  <c r="BC6" s="1"/>
  <c r="BC4" s="1"/>
  <c r="BD4" s="1"/>
  <c r="J10"/>
  <c r="K10" s="1"/>
  <c r="AS10"/>
  <c r="AT10" s="1"/>
  <c r="D18" i="3" s="1"/>
  <c r="J22" i="6"/>
  <c r="K22" s="1"/>
  <c r="E11" i="3" s="1"/>
  <c r="E55" s="1"/>
  <c r="AX10" i="6"/>
  <c r="AY10" s="1"/>
  <c r="D19" i="3" s="1"/>
  <c r="T4" i="6"/>
  <c r="U4" s="1"/>
  <c r="AI31"/>
  <c r="AJ31" s="1"/>
  <c r="G16" i="3" s="1"/>
  <c r="AN22" i="6"/>
  <c r="AO22" s="1"/>
  <c r="E17" i="3" s="1"/>
  <c r="CB10" i="6"/>
  <c r="CC10" s="1"/>
  <c r="D25" i="3" s="1"/>
  <c r="C25"/>
  <c r="F55"/>
  <c r="F26"/>
  <c r="F27" s="1"/>
  <c r="F54"/>
  <c r="AR6" i="6"/>
  <c r="AS6" s="1"/>
  <c r="AS4" s="1"/>
  <c r="AT4" s="1"/>
  <c r="H11" i="8"/>
  <c r="AM6" i="6"/>
  <c r="AN6" s="1"/>
  <c r="H18" i="8"/>
  <c r="BW31" i="6"/>
  <c r="BX31" s="1"/>
  <c r="G24" i="3" s="1"/>
  <c r="O22" i="6"/>
  <c r="P22" s="1"/>
  <c r="E12" i="3" s="1"/>
  <c r="J31" i="6"/>
  <c r="K31" s="1"/>
  <c r="G11" i="3" s="1"/>
  <c r="F27" i="9"/>
  <c r="F29" s="1"/>
  <c r="BC10" i="6"/>
  <c r="BD10" s="1"/>
  <c r="D20" i="3" s="1"/>
  <c r="F35" i="6"/>
  <c r="D18" i="5" s="1"/>
  <c r="E20" i="2" s="1"/>
  <c r="C10" i="3"/>
  <c r="AH6" i="6"/>
  <c r="AI6" s="1"/>
  <c r="H9" i="8"/>
  <c r="BX35" i="6"/>
  <c r="D8" i="5" s="1"/>
  <c r="E10" i="2" s="1"/>
  <c r="C24" i="3"/>
  <c r="H24" s="1"/>
  <c r="K24" s="1"/>
  <c r="H10" i="8"/>
  <c r="BG6" i="6"/>
  <c r="BH6" s="1"/>
  <c r="BH4" s="1"/>
  <c r="BI4" s="1"/>
  <c r="S6"/>
  <c r="T6" s="1"/>
  <c r="H17" i="8"/>
  <c r="T10" i="6"/>
  <c r="U10" s="1"/>
  <c r="D13" i="3" s="1"/>
  <c r="AN4" i="6"/>
  <c r="AO4" s="1"/>
  <c r="T22"/>
  <c r="U22" s="1"/>
  <c r="E13" i="3" s="1"/>
  <c r="AI4" i="6"/>
  <c r="AJ4" s="1"/>
  <c r="BH22"/>
  <c r="BI22" s="1"/>
  <c r="E21" i="3" s="1"/>
  <c r="Y10" i="6"/>
  <c r="Z10" s="1"/>
  <c r="D14" i="3" s="1"/>
  <c r="E22" i="18"/>
  <c r="E23" s="1"/>
  <c r="N11" i="12"/>
  <c r="N14"/>
  <c r="L11"/>
  <c r="L14"/>
  <c r="E27" i="9"/>
  <c r="E29" s="1"/>
  <c r="N18" i="12"/>
  <c r="G23"/>
  <c r="G24" s="1"/>
  <c r="N8"/>
  <c r="J11"/>
  <c r="K11" s="1"/>
  <c r="N12"/>
  <c r="J14"/>
  <c r="K14" s="1"/>
  <c r="L18"/>
  <c r="J21"/>
  <c r="L8"/>
  <c r="L12"/>
  <c r="N15"/>
  <c r="E23" i="8"/>
  <c r="E24" s="1"/>
  <c r="L15" i="12"/>
  <c r="J18"/>
  <c r="K18" s="1"/>
  <c r="N9"/>
  <c r="G11"/>
  <c r="I11" s="1"/>
  <c r="H11" s="1"/>
  <c r="AC11" i="6" s="1"/>
  <c r="AD11" s="1"/>
  <c r="AD10" s="1"/>
  <c r="AE10" s="1"/>
  <c r="D15" i="3" s="1"/>
  <c r="N19" i="12"/>
  <c r="C23" i="3" l="1"/>
  <c r="H23" s="1"/>
  <c r="K23" s="1"/>
  <c r="BS35" i="6"/>
  <c r="D21" i="5" s="1"/>
  <c r="E23" i="2" s="1"/>
  <c r="C14" i="3"/>
  <c r="H14" s="1"/>
  <c r="K14" s="1"/>
  <c r="Z35" i="6"/>
  <c r="D12" i="5" s="1"/>
  <c r="E14" i="2" s="1"/>
  <c r="C18" i="3"/>
  <c r="H18" s="1"/>
  <c r="K18" s="1"/>
  <c r="AT35" i="6"/>
  <c r="D14" i="5" s="1"/>
  <c r="E16" i="2" s="1"/>
  <c r="C22" i="3"/>
  <c r="H22" s="1"/>
  <c r="K22" s="1"/>
  <c r="BN35" i="6"/>
  <c r="D15" i="5" s="1"/>
  <c r="E17" i="2" s="1"/>
  <c r="AO35" i="6"/>
  <c r="D6" i="5" s="1"/>
  <c r="C17" i="3"/>
  <c r="H17" s="1"/>
  <c r="K17" s="1"/>
  <c r="P4" i="6"/>
  <c r="F9" i="4"/>
  <c r="F23" s="1"/>
  <c r="F24" s="1"/>
  <c r="C20" i="3"/>
  <c r="H20" s="1"/>
  <c r="K20" s="1"/>
  <c r="BD35" i="6"/>
  <c r="D7" i="5" s="1"/>
  <c r="E9" i="2" s="1"/>
  <c r="AJ35" i="6"/>
  <c r="D17" i="5" s="1"/>
  <c r="E19" i="2" s="1"/>
  <c r="C16" i="3"/>
  <c r="H16" s="1"/>
  <c r="K16" s="1"/>
  <c r="C13"/>
  <c r="H13" s="1"/>
  <c r="K13" s="1"/>
  <c r="U35" i="6"/>
  <c r="D16" i="5" s="1"/>
  <c r="E18" i="2" s="1"/>
  <c r="E54" i="3"/>
  <c r="H10"/>
  <c r="E26"/>
  <c r="E27" s="1"/>
  <c r="C13" i="4"/>
  <c r="C23" s="1"/>
  <c r="C24" s="1"/>
  <c r="D11" i="3"/>
  <c r="K35" i="6"/>
  <c r="D10" i="5" s="1"/>
  <c r="E12" i="2" s="1"/>
  <c r="B13" i="4"/>
  <c r="C11" i="3"/>
  <c r="B9" i="4"/>
  <c r="C15" i="3"/>
  <c r="H15" s="1"/>
  <c r="K15" s="1"/>
  <c r="AE35" i="6"/>
  <c r="D13" i="5" s="1"/>
  <c r="E15" i="2" s="1"/>
  <c r="C21" i="3"/>
  <c r="H21" s="1"/>
  <c r="K21" s="1"/>
  <c r="BI35" i="6"/>
  <c r="D11" i="5" s="1"/>
  <c r="E13" i="2" s="1"/>
  <c r="C19" i="3"/>
  <c r="H19" s="1"/>
  <c r="K19" s="1"/>
  <c r="AY35" i="6"/>
  <c r="D9" i="5" s="1"/>
  <c r="E11" i="2" s="1"/>
  <c r="G55" i="3"/>
  <c r="G54"/>
  <c r="G26"/>
  <c r="G27" s="1"/>
  <c r="H25"/>
  <c r="CC35" i="6"/>
  <c r="D19" i="5" s="1"/>
  <c r="E21" i="2" s="1"/>
  <c r="D55" i="3" l="1"/>
  <c r="D54"/>
  <c r="D26"/>
  <c r="D27" s="1"/>
  <c r="I9" i="4"/>
  <c r="B23"/>
  <c r="B24" s="1"/>
  <c r="E8" i="2"/>
  <c r="G9" i="4"/>
  <c r="G23" s="1"/>
  <c r="G24" s="1"/>
  <c r="C12" i="3"/>
  <c r="H12" s="1"/>
  <c r="K12" s="1"/>
  <c r="P35" i="6"/>
  <c r="D20" i="5" s="1"/>
  <c r="E22" i="2" s="1"/>
  <c r="I13" i="4"/>
  <c r="K13" s="1"/>
  <c r="N13" s="1"/>
  <c r="H11" i="3"/>
  <c r="K11" s="1"/>
  <c r="C26"/>
  <c r="C27" s="1"/>
  <c r="C55"/>
  <c r="C54"/>
  <c r="K9" i="4" l="1"/>
  <c r="I23"/>
  <c r="I24" s="1"/>
  <c r="D24" i="5"/>
  <c r="D25" s="1"/>
  <c r="E26" i="2"/>
  <c r="E27" s="1"/>
  <c r="H54" i="3"/>
  <c r="H55"/>
  <c r="H26"/>
  <c r="H27" s="1"/>
  <c r="N9" i="4" l="1"/>
  <c r="K23"/>
  <c r="K24" s="1"/>
</calcChain>
</file>

<file path=xl/sharedStrings.xml><?xml version="1.0" encoding="utf-8"?>
<sst xmlns="http://schemas.openxmlformats.org/spreadsheetml/2006/main" count="1177" uniqueCount="250">
  <si>
    <t>Сравнительный анализ результатов мониторинга качества финансового менеджмента за 2015 и 2016 годы</t>
  </si>
  <si>
    <t>№ п/п</t>
  </si>
  <si>
    <t>Наименование</t>
  </si>
  <si>
    <t>Оценка</t>
  </si>
  <si>
    <t>Динамика оценки</t>
  </si>
  <si>
    <t>Место в рейтинге</t>
  </si>
  <si>
    <t>Динамика мест</t>
  </si>
  <si>
    <t>2015</t>
  </si>
  <si>
    <t>2016</t>
  </si>
  <si>
    <t>Комитет образования</t>
  </si>
  <si>
    <t xml:space="preserve">Комитет городского хозяйства </t>
  </si>
  <si>
    <t>Комитет культуры и молодежной политики</t>
  </si>
  <si>
    <t xml:space="preserve">Комитет градостроительства администрации </t>
  </si>
  <si>
    <t>Администрация города Ставрополя</t>
  </si>
  <si>
    <t>Комитет физической культуры и спорта</t>
  </si>
  <si>
    <t xml:space="preserve">Комитет по управлению муниципальным имуществом </t>
  </si>
  <si>
    <t>Администрация Промышленного района</t>
  </si>
  <si>
    <t>Комитет труда и социальной защиты населения</t>
  </si>
  <si>
    <t>Администрация Ленинского района</t>
  </si>
  <si>
    <t>Комитет финансов и бюджета</t>
  </si>
  <si>
    <t xml:space="preserve">Администрация Октябрьского района </t>
  </si>
  <si>
    <t>Комитет по делам гражданской обороны и чрезвычайным ситуациям</t>
  </si>
  <si>
    <t xml:space="preserve">Комитет муниципального заказа и торговли </t>
  </si>
  <si>
    <t>Суммарная оценка</t>
  </si>
  <si>
    <t>Средняя оценка</t>
  </si>
  <si>
    <t>Значение показателя самое высокое</t>
  </si>
  <si>
    <t>Значение показателя выше среднего значения</t>
  </si>
  <si>
    <t>Значение показателя ниже среднего значения</t>
  </si>
  <si>
    <t>Значение показателя самое низкое</t>
  </si>
  <si>
    <t>ОТЧЕТ</t>
  </si>
  <si>
    <t>о результатах мониторинга качества финансового менеджмента,</t>
  </si>
  <si>
    <t>осуществляемого администрацией города Ставрополя,</t>
  </si>
  <si>
    <t>ее отраслевыми (функциональными) и территориальными органами,</t>
  </si>
  <si>
    <t xml:space="preserve">в разрезе главных распорядителей бюджетных средств </t>
  </si>
  <si>
    <t>Место</t>
  </si>
  <si>
    <t>Код ГРБС</t>
  </si>
  <si>
    <t>Итоговая оценка качества финансового менеджмента с учетом корректирующего коэффициента</t>
  </si>
  <si>
    <t>Комитет труда и социальной защиты населения администрации города Ставрополя</t>
  </si>
  <si>
    <t>Администрация Октябрьского района города Ставрополя</t>
  </si>
  <si>
    <t xml:space="preserve"> +</t>
  </si>
  <si>
    <t>Комитет по делам гражданской обороны и чрезвычайным ситуациям администрации города Ставрополя</t>
  </si>
  <si>
    <t xml:space="preserve"> -</t>
  </si>
  <si>
    <t>Администрация Ленинского района города Ставрополя</t>
  </si>
  <si>
    <t xml:space="preserve"> + </t>
  </si>
  <si>
    <t>Администрация Промышленного района города Ставрополя</t>
  </si>
  <si>
    <t>Комитет  экономического развития и торговли администрации города Ставрополя</t>
  </si>
  <si>
    <t>Комитет образования администрации города Ставрополя</t>
  </si>
  <si>
    <t>Комитет физической культуры и спорта администрации города Ставрополя</t>
  </si>
  <si>
    <t>Комитет городского хозяйства администрации города Ставрополя</t>
  </si>
  <si>
    <t>Комитет финансов и бюджета администрации города Ставрополя</t>
  </si>
  <si>
    <t>Комитет культуры и молодежной политики администрации города Ставрополя</t>
  </si>
  <si>
    <t>Ставропольская городская Дума</t>
  </si>
  <si>
    <t>Контрольно-счетная палата города Ставрополя</t>
  </si>
  <si>
    <t>Комитет по управлению муниципальным имуществом города Ставрополя</t>
  </si>
  <si>
    <t>Комитет градостроительства администрации города Ставрополя</t>
  </si>
  <si>
    <t xml:space="preserve">Результаты мониторинга качества финансового менеджмента, </t>
  </si>
  <si>
    <t>осуществляемого администрацией города Ставрополя, ее отраслевыми (функциональными) и территориальными органами,</t>
  </si>
  <si>
    <t>Наименование главного распорядителя бюджетных средств</t>
  </si>
  <si>
    <t>Итоговая оценка группы показателей по направлениям деятельности</t>
  </si>
  <si>
    <t xml:space="preserve">Оценка качества финансового менеджмента </t>
  </si>
  <si>
    <t>Планирование бюджета города</t>
  </si>
  <si>
    <t>Исполнение бюджета города</t>
  </si>
  <si>
    <t>Учет и отчетность</t>
  </si>
  <si>
    <t>Соблюдение бюджетного законодательства и осуществление внутреннего финансового контроля и внутреннего финансового аудита</t>
  </si>
  <si>
    <t>Осуществление функций и полномочий учредителя в отношении подведомственных муниципальных учреждений города Ставрополя</t>
  </si>
  <si>
    <t>1</t>
  </si>
  <si>
    <t>2</t>
  </si>
  <si>
    <t>3</t>
  </si>
  <si>
    <t>4</t>
  </si>
  <si>
    <t>Комитет экономического развития и торговли администрации города Ставрополя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</si>
  <si>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</si>
  <si>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</si>
  <si>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</si>
  <si>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</si>
  <si>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</si>
  <si>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</si>
  <si>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</si>
  <si>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</si>
  <si>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</si>
  <si>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Комитет муниципального заказа и торговли администрации города Ставрополя</t>
  </si>
  <si>
    <t>14</t>
  </si>
  <si>
    <t>15</t>
  </si>
  <si>
    <t>16</t>
  </si>
  <si>
    <t>Результаты мониторинга качества финансового менеджмента за 2016 год по направлениям</t>
  </si>
  <si>
    <t>Корректи          рующий коэффи          циент</t>
  </si>
  <si>
    <t>Итоговая оценка качества финансового менеджмента с учетом корректирующего коэффициента (гр.9*гр.10)</t>
  </si>
  <si>
    <t>Качество планирования бюджета города</t>
  </si>
  <si>
    <t>Исполнение бюджета города в части расходов</t>
  </si>
  <si>
    <t>Исполнение бюджета города в части доходов</t>
  </si>
  <si>
    <t>Исполнение судебных актов</t>
  </si>
  <si>
    <t>Подведомственные муниципальные учреждения</t>
  </si>
  <si>
    <t>Квалификация финансового (финансово-экономического) подразделения главных распорядителей бюджетных средств</t>
  </si>
  <si>
    <t>-</t>
  </si>
  <si>
    <t xml:space="preserve">Итоговая оценка качества финансового менеджмента </t>
  </si>
  <si>
    <t>Итоговая оценка качества финансового менеджмента</t>
  </si>
  <si>
    <r>
      <t>Наименование показат</t>
    </r>
    <r>
      <rPr>
        <sz val="10"/>
        <rFont val="Times New Roman"/>
      </rPr>
      <t>елей/групп показателй</t>
    </r>
  </si>
  <si>
    <t>Пороценты по постановлению</t>
  </si>
  <si>
    <t>Корректировка процентов</t>
  </si>
  <si>
    <t>Оценка показателей</t>
  </si>
  <si>
    <t>Значение показателя в групппе пропорционально весу в группе</t>
  </si>
  <si>
    <t>Значение группы показателей</t>
  </si>
  <si>
    <t>1. Планирование бюджета города Ставрополя</t>
  </si>
  <si>
    <t>Показатель 1.1. Частота внесения изменений в бюджетную роспись главных распорядителей бюджетных средств</t>
  </si>
  <si>
    <t>Показатель 1.2. Доля бюджетных ассигнований, запаланированных на реализацию муниципальныхпрограмм</t>
  </si>
  <si>
    <t>Показатель 1.3. Соблюдение главными распорядителями бюджетных средств сроков представления документов и материалов, установленных муниципальными правовыми актами города Ставрополя, регламентирующими процесс формирования бюджета города</t>
  </si>
  <si>
    <t>Показатель 1.4.  Объем неисполненных на конец отчетного финансового года бюджетных ассигнований</t>
  </si>
  <si>
    <t>1.5. Качество планирования поступления налоговых доходов бюджета города</t>
  </si>
  <si>
    <t>2. Исполнение бюджета города</t>
  </si>
  <si>
    <t>Показатель 2.1. Равномерность осуществления расходов</t>
  </si>
  <si>
    <t>Показатель 2.2. Эффективность использования бюджетных средств, выделенных на реализацию муниципальных программ за отчетный финансовый год</t>
  </si>
  <si>
    <t>Показатель 2.3. Достижение запланированных целевых показателей муниципальных программ</t>
  </si>
  <si>
    <t>Показатель 2.4. Выполнение обязательств, предусмотренных соглашениями о предоставлении субсидий из других бюджетов бюджетной системы Российской Федерации</t>
  </si>
  <si>
    <t xml:space="preserve">Показатель 2.5. Эффективность управления кредиторской задолженностью по расчетам по платежам в бюджеты </t>
  </si>
  <si>
    <t>Показатель 2.6. Эффективность управления кредиторской задолженностью по расчетам с поставщиками (подрядчиками, исполнителями)</t>
  </si>
  <si>
    <t>Показатель 2.7. Изменение суммы кредиторской задолженности в отчетном году</t>
  </si>
  <si>
    <t>Показатель 2.8. Эффективность управления дебиторской задолженностью по расчетам с дебиторами по доходам</t>
  </si>
  <si>
    <t>Показатель 2.9. Изменение суммы дебиторской задолженности  в отчетном году</t>
  </si>
  <si>
    <t>Показатель 2.10. Объем невыясненных поступлений, зачисленных 
в бюджет города и не уточненных администратором доходов бюджета города и подведомственными ему учреждениями по состоянию на 31 декабря отчетного финансового года</t>
  </si>
  <si>
    <t>Показатель 2.11. Оценка  кассового исполнения по налоговым и неналоговым доходам по главному администратору доходов бюджета города</t>
  </si>
  <si>
    <t>3. Учет и отчетность</t>
  </si>
  <si>
    <t>Показатель 3.1. Представление в составе годовой бюджетной отчетности сведений о проведении инвентаризаций</t>
  </si>
  <si>
    <t xml:space="preserve">Показатель 3.2. Своевременность представления отчетности об исполнении бюджета города в комитет финансов и бюджета администрации города Ставрополя </t>
  </si>
  <si>
    <t>Показатель 3.3. Своевременность представления сводной бухгалтерской отчетности муниципальных бюджетных и автономных учреждений в комитет финансов и бюджета администрации города Ставрополя</t>
  </si>
  <si>
    <t>Показатель 3.4. Качество представления отчетности об исполнении бюджета города</t>
  </si>
  <si>
    <t xml:space="preserve">Показатель 3.5. Качество представления сводной бухгалтерской отчетности муниципальных бюджетных и автономных учреждений </t>
  </si>
  <si>
    <t>4. Соблюдение бюджетного законодательства и осуществление внутреннего финансового контроля и внутреннего финансового аудита</t>
  </si>
  <si>
    <t>Показатель 4.1. Нарушения бюджетного законодательства, выявленные в ходе проведения контрольных мероприятий органом внутреннего муниципального финансового контроля</t>
  </si>
  <si>
    <t>Показатель 4.2. Исполнение предписаний (представлений), направленных главным распорядителям бюджетных средств органом внутреннего муниципального финансового контроля</t>
  </si>
  <si>
    <t>5. Осуществление функций и полномочий учредителя в отношении подведомственных муниципальных учреждений города Ставрополя</t>
  </si>
  <si>
    <t>5.1. Доля муниципальных услуг (работ), оказываемых подведомственными муниципальными учреждениями города Ставрополя в качестве основных видов деятельности, относительно которых утверждены нормативные затраты на единицу муниципальной услуги (работы)</t>
  </si>
  <si>
    <t>5.2. Полнота размещения информации на официальном сайте www.busgov.ru в информационно-телекоммуникационной сети  «Интернет» в соответствии с приказом Министерства финансов Российской Федерации от 21 июля 2011 г. №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</si>
  <si>
    <t>5.3. Доля остатков средств субсидий на выполнение муниципального задания на лицевых счетах муниципальных бюджетных и автономных учреждений 
на конец отчетного финансового года</t>
  </si>
  <si>
    <t>ИТОГО</t>
  </si>
  <si>
    <t>1.1. Частота внесения изменений в бюджетную роспись главных распорядителей бюджетных средств</t>
  </si>
  <si>
    <t>(в рублях)</t>
  </si>
  <si>
    <t xml:space="preserve">Количество изменений в бюджетную роспись главного распорядителя бюджетных средств в ходе исполнения бюджета города Ставрополя (далее -  бюджет города) без учета изменений по кодам аналитического учета  в отчетном финансовом году (за исключением изменений, связанных с внесением изменений в решение Ставропольской городской Думы о бюджете города Ставрополя на очередной финансовый год и плановый период (далее – решение о бюджете); отражением безвозмездных поступлений из других бюджетов бюджетной системы Российской Федерации, от физических и юридических лиц; распределением зарезервированных расходов, утвержденных решением о бюджете; реорганизацией органов местного самоуправления) (K) </t>
  </si>
  <si>
    <t>Объем бюджетных ассигнований главного распорядителя бюджетных средств в отчетном финансовом году согласно отчету об исполнении бюджета города (b)</t>
  </si>
  <si>
    <t>Объем  бюджетных ассигнований бюджета города согласно отчету об исполнении бюджета города (B)</t>
  </si>
  <si>
    <t>Процент, P           Р = К х (1- b / В)</t>
  </si>
  <si>
    <t>Значение показателя (с учетом условий)</t>
  </si>
  <si>
    <t xml:space="preserve">Е(Р) = 0, если P &gt; 50
Е(Р) = 1, если 40 &lt; P ≤ 50
Е(Р) = 2, если 30 &lt; P ≤ 40
Е(Р) = 3, если 20 &lt; P ≤ 30
Е(Р) = 4, если 10 &lt; P ≤ 20
Е(Р) = 5, если P ≤  10
</t>
  </si>
  <si>
    <t>1.2. Доля бюджетных ассигнований, запланированных на реализацию муниципальных программ города Ставрополя</t>
  </si>
  <si>
    <t>Годовой объем бюджетных ассигнований по главному распорядителю бюджетных средств с учетом внесенных изменений на конец отчетного периода на реализацию муниципальных программ (S)</t>
  </si>
  <si>
    <t>Годовой объем бюджетных ассигнований по главному распорядителю бюджетных средств с учетом внесенных изменений на конец отчетного периода (без учета субвенций) (b)</t>
  </si>
  <si>
    <t xml:space="preserve">Процент, P           P = 100 х S / b </t>
  </si>
  <si>
    <t xml:space="preserve">Е(Р) = 0, если P &lt; 30%
Е(Р) = 1, если 30% ≤ P &lt; 40%
Е(Р) = 2, если 40% ≤ P &lt; 50%
Е(Р) = 3, если 50% ≤ P &lt; 70%
Е(Р) = 4, если 70% ≤ P ≤ 85%
Е(Р) = 5, если Р &gt; 85%
</t>
  </si>
  <si>
    <t>Администрация Октябртского района города Ставрополя</t>
  </si>
  <si>
    <t>1.3. Соблюдение главными распорядителями бюджетных средств сроков представления документов и материалов, установленных муниципальными правовыми актами города Ставрополя, регламентирующими процесс формирования бюджета города</t>
  </si>
  <si>
    <t xml:space="preserve">Количество материалов, представленных с нарушением сроков (Еn) </t>
  </si>
  <si>
    <t>Количество материалов, которые необходимо представить в рамках бюджетного процесса в установленные сроки (Е)</t>
  </si>
  <si>
    <t>Процент, P           Р = Еn / Е</t>
  </si>
  <si>
    <t xml:space="preserve">Е(Р) = 0, если Р &gt; 0
Е(Р) = 5, если P = 0
</t>
  </si>
  <si>
    <t>1.4. Объем неисполненных на конец отчетного финансового года бюджетных ассигнований</t>
  </si>
  <si>
    <t>Кассовое исполнение расходов главного распорядителя бюджетных средств в отчетном финансовом году ( E)</t>
  </si>
  <si>
    <t xml:space="preserve">Процент, P                        P = 100 x (b - E) / b </t>
  </si>
  <si>
    <t xml:space="preserve">Е(Р) = 0, если Р &gt; 50%
Е(Р) = 1, если 10% ≤ P ≤ 50%
Е(Р) = 2, если 5% ≤ P &lt; 10%
Е(Р) = 3, если 1% ≤ P &lt; 5%
Е(Р) = 4, если 0,5% ≤ P &lt; 1% 
Е(Р) = 5, если P &lt; 0,5%
</t>
  </si>
  <si>
    <t>Контрольно-счетной палаты города Ставрополя</t>
  </si>
  <si>
    <t>1.5. Качество планирования поступлений налоговых и неналоговых доходов бюджета города</t>
  </si>
  <si>
    <t>Фактическое исполнение по налоговым и неналоговым доходам  по главному администратору доходов  бюджета города по данным отчета об исполнении бюджета (форма 0503117) за отчетный финансовый год  (R)</t>
  </si>
  <si>
    <t xml:space="preserve"> Утвержденные бюджетные назначения по налоговым и неналоговым доходам бюджета города по главному администратору доходов бюджета по данным решения о бюджете на очередной финансовый год и плановый период (Rn)</t>
  </si>
  <si>
    <t xml:space="preserve">Процент, P                        P = (R/Rn)*100
</t>
  </si>
  <si>
    <t xml:space="preserve">Е(Р) = 0, если 30&lt; P 
Е(Р) = 2, если 10 &lt; P≤ 30
Е(Р) = 5, если 0 &lt; P ≤ 10
</t>
  </si>
  <si>
    <t>2.1. Равномерность осуществления расходов</t>
  </si>
  <si>
    <t>Кассовые расходы главного распорядителя бюджетных средств 
за 2021 год</t>
  </si>
  <si>
    <t>Кассовые расходы главного распорядителя бюджетных средств 
за девять месяцев 2021 года</t>
  </si>
  <si>
    <t xml:space="preserve">Кассовые расходы главного распорядителя бюджетных средств 
в IV квартале отчетного финансового года (E)
</t>
  </si>
  <si>
    <t>Cредний объем кассовых расходов главного распорядителя бюджетных средств 
за I – III кварталы отчетного финансового года (Еср )</t>
  </si>
  <si>
    <t xml:space="preserve">Процент, P                                                   P = (Е – Еср)*100/Еср </t>
  </si>
  <si>
    <t xml:space="preserve">Е(Р) = 0, если P &gt; 100%
Е(Р) = 1, если 80% ≤ P ≤ 100%
Е(Р) = 2, если 60% ≤ P &lt; 80%
Е(Р) = 3, если 40% ≤ P &lt; 60%
Е(Р) = 4, если 25% ≤ P &lt; 40%
Е(Р) = 5, если P &lt; 25%
</t>
  </si>
  <si>
    <t>Контрольно-счетная палата администрации города Ставрополя</t>
  </si>
  <si>
    <t>2.2. Эффективность использования бюджетных средств, выделенных на реализацию муниципальных программ за отчетный финансовый год</t>
  </si>
  <si>
    <t>Кассовые расходы главного распорядителя бюджетных средств на реализацию муниципальных программ в отчетном финансовом году (Sисп)</t>
  </si>
  <si>
    <t>Объем бюджетных ассигнований главного распорядителя бюджетных средств в отчетном финансовом году на реализацию муниципальных программ  (S)</t>
  </si>
  <si>
    <t xml:space="preserve">Процент, P                                                   Эмцп=100 х (Sисп / S)
 </t>
  </si>
  <si>
    <t xml:space="preserve">Е(Р) = 0, если Р ≤ 50%
Е(Р) = 1, если 50% &lt; Р ≤ 70%
Е(Р) = 2, если 70% &lt; Р ≤ 80%
Е(Р) = 3, если 80% &lt; Р ≤ 90%
Е(Р) = 4, если 90% &lt; Р &lt; 100%
Е(Р) = 5, если Р = 100%
</t>
  </si>
  <si>
    <t xml:space="preserve">2.3. Достижение запланированных целевых показателей муниципальных программ </t>
  </si>
  <si>
    <t>Количество показателей муниципальных программ, достигнутых в отчетном финансовом году (Q1)</t>
  </si>
  <si>
    <t>Количество показателей муниципальных программ, достижение которых было запланировано в отчетном финансовом году (Q)</t>
  </si>
  <si>
    <t xml:space="preserve">Процент, P                                                   P = 100 х Q1 / Q
 </t>
  </si>
  <si>
    <t xml:space="preserve">Е(Р) = 0, если P &lt; 30%
Е(Р) = 1, если 30% ≤ P &lt; 40%
Е(Р) = 2, если 40% ≤ P &lt; 50%
Е(Р) = 3, если 50% ≤ P &lt; 80%
Е(Р) = 4, если 80% ≤ P ≤ 90%
Е(Р) = 5, если Р &gt; 90%
</t>
  </si>
  <si>
    <t>2.4. Выполнение обязательств, предусмотренных соглашениями о предоставлении субсидий из других бюджетов бюджетной системы Российской Федерации</t>
  </si>
  <si>
    <t>Обязательства, предусмотренные соглашениями о предоставлении субсидий из других бюджетов бюджетной системы Российской Федерации, выполнены в полном объеме 
(5 баллов)</t>
  </si>
  <si>
    <t>Допущено нарушение обязательств, предусмотренных соглашениями о предоставлении субсидий из других бюджетов бюджетной системы Российской Федерации
(0 баллов)</t>
  </si>
  <si>
    <t>Е(Р) = 5 
Е(Р) = 0</t>
  </si>
  <si>
    <t>да</t>
  </si>
  <si>
    <t>нет</t>
  </si>
  <si>
    <t xml:space="preserve">2.5. Эффективность управления кредиторской задолженностью по расчетам по платежам в бюджеты  </t>
  </si>
  <si>
    <t>Объем кредиторской задолженности по расчетам по платежам в бюджеты в отчетном финансовом году по состоянию 
на 01 января года, следующего за отчетным финансовым  годом (K)</t>
  </si>
  <si>
    <t>Кассовое исполнение расходов главного распорядителя бюджетных средств в отчетном финансовом году (Е)</t>
  </si>
  <si>
    <t>Процент, P                                                   P = 100 x K / E</t>
  </si>
  <si>
    <t>2.6. Эффективность управления кредиторской задолженностью по расчетам с поставщиками (подрядчиками, исполнителями)</t>
  </si>
  <si>
    <t>Объем кредиторской задолженности по расчетам с поставщиками (подрядчиками, исполнителями) в отчетном финансовом году по состоянию 
на 01 января года, следующего за отчетным финансовым годом (K)</t>
  </si>
  <si>
    <t>2.7. Изменение суммы кредиторской задолженности в отчетном году</t>
  </si>
  <si>
    <t xml:space="preserve"> Объем кредиторской задолженности главного распорядителя бюджетных средств по состоянию 
на 01 января отчетного года (К0)</t>
  </si>
  <si>
    <t>Объем кредиторской задолженности главного распорядителя бюджетных средств по состоянию на 01 января года, следующего за отчетным (K1)</t>
  </si>
  <si>
    <t>Процент, P                                                   P = (К0 - K1) / К0 *100</t>
  </si>
  <si>
    <t>2.8. Эффективность управления дебиторской задолженностью по расчетам с дебиторами по доходам</t>
  </si>
  <si>
    <t xml:space="preserve">
</t>
  </si>
  <si>
    <t xml:space="preserve"> Объем дебиторской задолженности по расчетам с дебиторами по доходам в отчетном финансовом году по состоянию на 01 января года, следующего за отчетным финансовым годом (D)</t>
  </si>
  <si>
    <t>Кассовое исполнение по доходам, закрепленным за администратором доходов бюджета в отчетном финансовом году (Rf )</t>
  </si>
  <si>
    <t xml:space="preserve">Процент, P                        P =  = |100 х D / Rf|   </t>
  </si>
  <si>
    <t>2.9. Изменение суммы дебиторской задолженности  в отчетном году</t>
  </si>
  <si>
    <t xml:space="preserve"> Объем дебиторской задолженности в части расчетов с дебиторами по расходам по состоянию 
на 01 января отчетного года ( Д0)</t>
  </si>
  <si>
    <t xml:space="preserve"> Объем дебиторской задолженности в части расчетов с дебиторами по расходам по состоянию на 01 января года, следующего за отчетным (Д1)</t>
  </si>
  <si>
    <t>Процент, P                                                   P = (Д0 - Д1) / Д0 *100</t>
  </si>
  <si>
    <t xml:space="preserve">2.10. Объем невыясненных поступлений, зачисленных 
в бюджет города и не уточненных администратором доходов бюджета города и подведомственными ему учреждениями по состоянию на 31 декабря отчетного финансового года
</t>
  </si>
  <si>
    <t>Е(Р)=5, если Р=0
Е(Р)=0; еслиР &gt;0</t>
  </si>
  <si>
    <t>объем невыясненных поступлений, зачисленных в бюджет города и не уточненных администратором доходов бюджета города и подведомственными ему учреждениями по состоянию на 31 декабря отчетного финансового года (Онп)</t>
  </si>
  <si>
    <t>Процент, P                        Р = Онп</t>
  </si>
  <si>
    <t>2.11. Оценка  кассового исполнения по налоговым и неналоговым доходам по главному администратору доходов бюджета города</t>
  </si>
  <si>
    <t>Фактическое исполнение по налоговым и неналоговым  доходам по главному администратору доходов бюджета города в отчетном финансовом году (Rf )</t>
  </si>
  <si>
    <t>Уточненные плановые назначения по налоговым и неналоговым доходам для главного администратора доходов бюджета города в отчетном финансовом году  (Rp)</t>
  </si>
  <si>
    <t>Процент, P                        Р = Rf/Rp x 100 – 100</t>
  </si>
  <si>
    <r>
      <t>Оценка            E(P) = 0, если P&lt;0  E(P) = 5, если P</t>
    </r>
    <r>
      <rPr>
        <u/>
        <sz val="11"/>
        <rFont val="Times New Roman"/>
      </rPr>
      <t>&gt;0</t>
    </r>
  </si>
  <si>
    <t>3.1. Представление в составе годовой бюджетной отчетности сведений о проведении инвентаризаций</t>
  </si>
  <si>
    <t>Таблица «Сведения о проведении инвентаризаций» заполнена и соответствует  требованиям Инструкции о порядке составления и представления годовой, квартальной и месячной отчетности об исполнении бюджетов бюджетной системы Российской Федерации (5 баллов)</t>
  </si>
  <si>
    <t>Таблица «Сведения о проведении инвентаризаций» не заполнена или не соответствует  требованиям Инструкции о порядке составления и представления годовой, квартальной и месячной отчетности об исполнении бюджетов бюджетной системы Российской Федерации                    (0 баллов)</t>
  </si>
  <si>
    <t>3.2. Своевременность представления отчетности об исполнении бюджета города в комитет финансов и бюджета администрации города Ставрополя</t>
  </si>
  <si>
    <t>Отсутствие факта представления отчетности (месячной, квартальной, годовой) об исполнении бюджета города позже установленного срока 
(5 баллов)</t>
  </si>
  <si>
    <t>Наличие факта представления отчетности (месячной, квартальной, годовой) об исполнении бюджета города позже установленного срока (0 баллов)</t>
  </si>
  <si>
    <t>3.3. Своевременность представления сводной бухгалтерской отчетности муниципальных бюджетных и автономных учреждений в комитет финансов и бюджета администрации города Ставрополя</t>
  </si>
  <si>
    <t>Отсутствие факта представления сводной бухгалтерской отчетности (месячной, квартальной, годовой)
муниципальных бюджетных и автономных учреждений  позже установленного срока
(5 баллов)</t>
  </si>
  <si>
    <t>Наличие факта представления сводной бухгалтерской отчетности (месячной, квартальной, годовой)
муниципальных бюджетных и автономных учреждений  позже установленного срока
 (0 баллов)</t>
  </si>
  <si>
    <t xml:space="preserve">3.4. Качество представления отчетности об исполнении бюджета города </t>
  </si>
  <si>
    <t>Количество возвратов комитетом финансов и бюджета администрации города Ставрополя на доработку форм отчетности об исполнении бюджета города (Nд /5)</t>
  </si>
  <si>
    <t>Процент, P                        Р=100 х (Nд / 5)</t>
  </si>
  <si>
    <t xml:space="preserve">3.5. Качество представления сводной бухгалтерской отчетности муниципальных бюджетных и автономных учреждений </t>
  </si>
  <si>
    <t>Количество возвратов комитетом финансов и бюджета администрации города Ставрополя на доработку форм сводной бухгалтерской отчетности муниципальных бюджетных и автономных учреждений (Nд )</t>
  </si>
  <si>
    <t xml:space="preserve"> 4. Соблюдение бюджетного законодательства и осуществление внутреннего финансового контроля и внутреннего финансового аудита</t>
  </si>
  <si>
    <t>Е(Р) = 0, если Р &gt; 1
Е(Р) = 5, если Р ≤ 1</t>
  </si>
  <si>
    <t>4.1. Нарушения бюджетного законодательства, выявленные в ходе проведения контрольных мероприятий органом внутреннего муниципального финансового контроля</t>
  </si>
  <si>
    <t>Общая сумма выявленных финансовых нарушений за три отчетных финансовых года, предшествующих текущему финансовому году (S)</t>
  </si>
  <si>
    <t>Объем проверенных средств за три отчетных финансовых года, предшествующих текущему финансовому году (b)</t>
  </si>
  <si>
    <t xml:space="preserve">Процент, P                        Р = 100 х S / b
</t>
  </si>
  <si>
    <t xml:space="preserve"> 4. Соблюдение бюджетного законодательства и осуществление внутреннего 
финансового контроля и внутреннего финансового аудита</t>
  </si>
  <si>
    <t>4.2. Исполнение предписаний (представлений), направленных главным распорядителям бюджетных средств органом внутреннего муниципального финансового контроля</t>
  </si>
  <si>
    <t>Количество исполненных предписаний (представлений) органа внутреннего муниципального финансового контроля за три отчетных финансовых года, предшествующих текущему финансовому году (Qp)</t>
  </si>
  <si>
    <t>Количество частично исполненных предписаний (представлений) органа внутреннего муниципального финансового контроля за три отчетных финансовых года, предшествующих текущему финансовому году) (Qc)</t>
  </si>
  <si>
    <t>Количество направленных предписаний (представлений) органа внутреннего муниципального финансового контроля за три отчетных финансовых года, предшествующих текущему финансовому году (Qn )</t>
  </si>
  <si>
    <t>Процент, P                                                  Р = 100 х ( (Qp + 0,5 х Qc) / Qn)</t>
  </si>
  <si>
    <t>Е(Р) = 0, если Р &lt; 60%
Е(Р) = 1, если 60% ≤ Р &lt; 70%
Е(Р) = 2, если 70% ≤ Р &lt; 80%
Е(Р) = 3, если 80% ≤ Р &lt; 90%
Е(Р) = 4, если 90% ≤ Р &lt; 100%
Е(Р) = 5, если Р = 100%</t>
  </si>
  <si>
    <t>Количество муниципальных услуг (работ), оказываемых подведомственными муниципальными учреждениями города Ставрополя в качестве основных видов деятельности, относительно которых утверждены нормативные затраты на единицу муниципальной услуги (работы)  (S)</t>
  </si>
  <si>
    <t>Количество муниципальных услуг (работ), оказываемых подведомственными муниципальными учреждениями города Ставрополя в качестве основных видов деятельности (b)</t>
  </si>
  <si>
    <t xml:space="preserve">Процент, P                                                  P = 100 х S / b </t>
  </si>
  <si>
    <t>Размещение информации подведомственными муниципальными учреждениями города Ставрополя в полном объеме 
(5 баллов)</t>
  </si>
  <si>
    <t>Неполное размещение информации подведомственными муниципальными учреждениями города Ставрополя 
(0 баллов)</t>
  </si>
  <si>
    <t>Объем остатков средств субсидий на  выполнение муниципального задания на лицевых счетах муниципальных бюджетных и автономных учреждений на конец отчетного финансового года (В)</t>
  </si>
  <si>
    <t>Объем средств, перечисленный учредителем муниципальным бюджетным и автономным учреждениям на выполнение муниципального задания в течение отчетного финансового года (Е)</t>
  </si>
  <si>
    <t>Процент, P                                                  Р = 100 х (В / Е)</t>
  </si>
  <si>
    <t>за 2022 год в разрезе направлений</t>
  </si>
</sst>
</file>

<file path=xl/styles.xml><?xml version="1.0" encoding="utf-8"?>
<styleSheet xmlns="http://schemas.openxmlformats.org/spreadsheetml/2006/main">
  <numFmts count="8">
    <numFmt numFmtId="43" formatCode="_-* #,##0.00_р_._-;\-* #,##0.00_р_._-;_-* &quot;-&quot;??_р_._-;_-@_-"/>
    <numFmt numFmtId="164" formatCode="000;[Red]\-000;&quot;&quot;"/>
    <numFmt numFmtId="165" formatCode="#,##0.00;[Red]\-#,##0.00;0.00"/>
    <numFmt numFmtId="166" formatCode="#,##0.00_ ;[Red]\-#,##0.00\ "/>
    <numFmt numFmtId="167" formatCode="_-* #,##0.00\ _₽_-;\-* #,##0.00\ _₽_-;_-* &quot;-&quot;??\ _₽_-;_-@_-"/>
    <numFmt numFmtId="168" formatCode="#,##0.00_ ;\-#,##0.00\ "/>
    <numFmt numFmtId="169" formatCode="_(* #,##0.00_);_(* \(#,##0.00\);_(* &quot;-&quot;??_);_(@_)"/>
    <numFmt numFmtId="170" formatCode="#,##0_ ;[Red]\-#,##0\ "/>
  </numFmts>
  <fonts count="39">
    <font>
      <sz val="11"/>
      <color theme="1"/>
      <name val="Calibri"/>
      <scheme val="minor"/>
    </font>
    <font>
      <sz val="10"/>
      <name val="Arial"/>
    </font>
    <font>
      <sz val="8"/>
      <name val="Arial Cyr"/>
    </font>
    <font>
      <sz val="10"/>
      <name val="Arial Cyr"/>
    </font>
    <font>
      <sz val="11"/>
      <color theme="1"/>
      <name val="Calibri"/>
    </font>
    <font>
      <sz val="11"/>
      <color theme="1"/>
      <name val="Times New Roman"/>
    </font>
    <font>
      <b/>
      <i/>
      <u/>
      <sz val="14"/>
      <color indexed="64"/>
      <name val="Times New Roman"/>
    </font>
    <font>
      <sz val="14"/>
      <color indexed="64"/>
      <name val="Times New Roman"/>
    </font>
    <font>
      <sz val="11"/>
      <name val="Times New Roman"/>
    </font>
    <font>
      <sz val="11"/>
      <color indexed="2"/>
      <name val="Times New Roman"/>
    </font>
    <font>
      <sz val="10"/>
      <color theme="1"/>
      <name val="Times New Roman"/>
    </font>
    <font>
      <b/>
      <sz val="11"/>
      <color theme="1"/>
      <name val="Times New Roman"/>
    </font>
    <font>
      <b/>
      <sz val="11"/>
      <color indexed="2"/>
      <name val="Times New Roman"/>
    </font>
    <font>
      <sz val="12"/>
      <color indexed="2"/>
      <name val="Times New Roman"/>
    </font>
    <font>
      <sz val="9"/>
      <name val="Times New Roman"/>
    </font>
    <font>
      <b/>
      <sz val="11"/>
      <name val="Times New Roman"/>
    </font>
    <font>
      <sz val="12"/>
      <name val="Times New Roman"/>
    </font>
    <font>
      <b/>
      <sz val="12"/>
      <name val="Times New Roman"/>
    </font>
    <font>
      <sz val="12"/>
      <color theme="1"/>
      <name val="Times New Roman"/>
    </font>
    <font>
      <sz val="12"/>
      <color rgb="FF00B050"/>
      <name val="Times New Roman"/>
    </font>
    <font>
      <sz val="11"/>
      <color rgb="FF00B050"/>
      <name val="Times New Roman"/>
    </font>
    <font>
      <b/>
      <i/>
      <u/>
      <sz val="12"/>
      <name val="Times New Roman"/>
    </font>
    <font>
      <b/>
      <sz val="12"/>
      <color indexed="2"/>
      <name val="Times New Roman"/>
    </font>
    <font>
      <b/>
      <i/>
      <u/>
      <sz val="12"/>
      <color theme="1"/>
      <name val="Times New Roman"/>
    </font>
    <font>
      <b/>
      <sz val="10"/>
      <name val="Times New Roman"/>
    </font>
    <font>
      <sz val="10"/>
      <name val="Times New Roman"/>
    </font>
    <font>
      <sz val="11"/>
      <color theme="8" tint="-0.249977111117893"/>
      <name val="Times New Roman"/>
    </font>
    <font>
      <b/>
      <sz val="16"/>
      <color theme="1"/>
      <name val="Times New Roman"/>
    </font>
    <font>
      <b/>
      <i/>
      <sz val="14"/>
      <color theme="1"/>
      <name val="Times New Roman"/>
    </font>
    <font>
      <sz val="10"/>
      <color indexed="64"/>
      <name val="Arial"/>
    </font>
    <font>
      <sz val="11"/>
      <color indexed="6"/>
      <name val="Times New Roman"/>
    </font>
    <font>
      <sz val="11"/>
      <color rgb="FFCC0066"/>
      <name val="Times New Roman"/>
    </font>
    <font>
      <b/>
      <sz val="11"/>
      <color rgb="FF00B050"/>
      <name val="Times New Roman"/>
    </font>
    <font>
      <sz val="8"/>
      <name val="Arial"/>
    </font>
    <font>
      <sz val="11"/>
      <color indexed="64"/>
      <name val="Times New Roman"/>
    </font>
    <font>
      <b/>
      <sz val="11"/>
      <color indexed="64"/>
      <name val="Times New Roman"/>
    </font>
    <font>
      <sz val="11"/>
      <color rgb="FF00B0F0"/>
      <name val="Times New Roman"/>
    </font>
    <font>
      <sz val="11"/>
      <color theme="1"/>
      <name val="Calibri"/>
      <scheme val="minor"/>
    </font>
    <font>
      <u/>
      <sz val="11"/>
      <name val="Times New Roman"/>
    </font>
  </fonts>
  <fills count="17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92D050"/>
        <bgColor rgb="FF92D050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9" tint="-0.249977111117893"/>
        <bgColor theme="9" tint="-0.249977111117893"/>
      </patternFill>
    </fill>
    <fill>
      <patternFill patternType="solid">
        <fgColor indexed="2"/>
        <bgColor indexed="2"/>
      </patternFill>
    </fill>
    <fill>
      <patternFill patternType="solid">
        <fgColor indexed="5"/>
        <bgColor indexed="5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66FFFF"/>
        <bgColor rgb="FF66FFFF"/>
      </patternFill>
    </fill>
    <fill>
      <patternFill patternType="solid">
        <fgColor rgb="FF00B0F0"/>
        <bgColor rgb="FF00B0F0"/>
      </patternFill>
    </fill>
    <fill>
      <patternFill patternType="solid">
        <fgColor rgb="FFFFC000"/>
        <bgColor rgb="FFFFC000"/>
      </patternFill>
    </fill>
    <fill>
      <patternFill patternType="solid">
        <fgColor indexed="43"/>
        <bgColor indexed="43"/>
      </patternFill>
    </fill>
    <fill>
      <patternFill patternType="solid">
        <f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" fillId="0" borderId="0"/>
    <xf numFmtId="0" fontId="37" fillId="0" borderId="0"/>
    <xf numFmtId="0" fontId="1" fillId="0" borderId="0"/>
    <xf numFmtId="43" fontId="37" fillId="0" borderId="0" applyFont="0" applyFill="0" applyBorder="0" applyProtection="0"/>
    <xf numFmtId="43" fontId="37" fillId="0" borderId="0" applyFont="0" applyFill="0" applyBorder="0" applyProtection="0"/>
  </cellStyleXfs>
  <cellXfs count="44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4" fontId="5" fillId="0" borderId="0" xfId="0" applyNumberFormat="1" applyFont="1" applyAlignment="1">
      <alignment vertical="top"/>
    </xf>
    <xf numFmtId="0" fontId="7" fillId="0" borderId="0" xfId="0" applyFont="1" applyAlignment="1">
      <alignment horizontal="center"/>
    </xf>
    <xf numFmtId="164" fontId="8" fillId="0" borderId="1" xfId="192" applyNumberFormat="1" applyFont="1" applyBorder="1" applyAlignment="1" applyProtection="1">
      <alignment horizontal="center" vertical="center" wrapText="1"/>
      <protection hidden="1"/>
    </xf>
    <xf numFmtId="49" fontId="9" fillId="0" borderId="1" xfId="192" applyNumberFormat="1" applyFont="1" applyBorder="1" applyAlignment="1" applyProtection="1">
      <alignment horizontal="center" vertical="top" wrapText="1"/>
      <protection hidden="1"/>
    </xf>
    <xf numFmtId="0" fontId="10" fillId="0" borderId="0" xfId="0" applyFont="1"/>
    <xf numFmtId="164" fontId="8" fillId="0" borderId="1" xfId="192" applyNumberFormat="1" applyFont="1" applyBorder="1" applyAlignment="1" applyProtection="1">
      <alignment wrapText="1"/>
      <protection hidden="1"/>
    </xf>
    <xf numFmtId="0" fontId="9" fillId="0" borderId="1" xfId="0" applyFont="1" applyBorder="1" applyAlignment="1">
      <alignment horizontal="center" vertical="top"/>
    </xf>
    <xf numFmtId="164" fontId="9" fillId="0" borderId="1" xfId="192" applyNumberFormat="1" applyFont="1" applyBorder="1" applyAlignment="1" applyProtection="1">
      <alignment vertical="top" wrapText="1"/>
      <protection hidden="1"/>
    </xf>
    <xf numFmtId="4" fontId="9" fillId="2" borderId="1" xfId="0" applyNumberFormat="1" applyFont="1" applyFill="1" applyBorder="1" applyAlignment="1">
      <alignment horizontal="center" vertical="top"/>
    </xf>
    <xf numFmtId="4" fontId="9" fillId="3" borderId="1" xfId="0" applyNumberFormat="1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/>
    </xf>
    <xf numFmtId="164" fontId="8" fillId="0" borderId="1" xfId="192" applyNumberFormat="1" applyFont="1" applyBorder="1" applyAlignment="1" applyProtection="1">
      <alignment vertical="top" wrapText="1"/>
      <protection hidden="1"/>
    </xf>
    <xf numFmtId="164" fontId="8" fillId="0" borderId="3" xfId="192" applyNumberFormat="1" applyFont="1" applyBorder="1" applyAlignment="1" applyProtection="1">
      <alignment wrapText="1"/>
      <protection hidden="1"/>
    </xf>
    <xf numFmtId="4" fontId="9" fillId="4" borderId="1" xfId="0" applyNumberFormat="1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center" vertical="top"/>
    </xf>
    <xf numFmtId="4" fontId="9" fillId="5" borderId="1" xfId="0" applyNumberFormat="1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9" fillId="6" borderId="1" xfId="0" applyFont="1" applyFill="1" applyBorder="1" applyAlignment="1">
      <alignment horizontal="center" vertical="top"/>
    </xf>
    <xf numFmtId="164" fontId="8" fillId="0" borderId="2" xfId="192" applyNumberFormat="1" applyFont="1" applyBorder="1" applyAlignment="1" applyProtection="1">
      <alignment wrapText="1"/>
      <protection hidden="1"/>
    </xf>
    <xf numFmtId="0" fontId="9" fillId="0" borderId="2" xfId="0" applyFont="1" applyBorder="1" applyAlignment="1">
      <alignment horizontal="center" vertical="top"/>
    </xf>
    <xf numFmtId="164" fontId="9" fillId="0" borderId="4" xfId="192" applyNumberFormat="1" applyFont="1" applyBorder="1" applyAlignment="1" applyProtection="1">
      <alignment vertical="top" wrapText="1"/>
      <protection hidden="1"/>
    </xf>
    <xf numFmtId="4" fontId="9" fillId="4" borderId="4" xfId="0" applyNumberFormat="1" applyFont="1" applyFill="1" applyBorder="1" applyAlignment="1">
      <alignment horizontal="center" vertical="top"/>
    </xf>
    <xf numFmtId="4" fontId="9" fillId="5" borderId="4" xfId="0" applyNumberFormat="1" applyFont="1" applyFill="1" applyBorder="1" applyAlignment="1">
      <alignment horizontal="center" vertical="top"/>
    </xf>
    <xf numFmtId="4" fontId="9" fillId="4" borderId="2" xfId="0" applyNumberFormat="1" applyFont="1" applyFill="1" applyBorder="1" applyAlignment="1">
      <alignment horizontal="center" vertical="top"/>
    </xf>
    <xf numFmtId="0" fontId="9" fillId="4" borderId="2" xfId="0" applyFont="1" applyFill="1" applyBorder="1" applyAlignment="1">
      <alignment horizontal="center" vertical="top"/>
    </xf>
    <xf numFmtId="164" fontId="8" fillId="0" borderId="4" xfId="192" applyNumberFormat="1" applyFont="1" applyBorder="1" applyAlignment="1" applyProtection="1">
      <alignment vertical="top" wrapText="1"/>
      <protection hidden="1"/>
    </xf>
    <xf numFmtId="0" fontId="11" fillId="0" borderId="1" xfId="0" applyFont="1" applyBorder="1"/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vertical="top"/>
    </xf>
    <xf numFmtId="4" fontId="12" fillId="0" borderId="1" xfId="0" applyNumberFormat="1" applyFont="1" applyBorder="1" applyAlignment="1">
      <alignment horizontal="center" vertical="top"/>
    </xf>
    <xf numFmtId="4" fontId="12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vertical="top"/>
    </xf>
    <xf numFmtId="0" fontId="5" fillId="0" borderId="1" xfId="0" applyFont="1" applyBorder="1"/>
    <xf numFmtId="4" fontId="9" fillId="0" borderId="1" xfId="0" applyNumberFormat="1" applyFont="1" applyBorder="1" applyAlignment="1">
      <alignment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4" fontId="9" fillId="0" borderId="0" xfId="0" applyNumberFormat="1" applyFont="1" applyAlignment="1">
      <alignment vertical="top"/>
    </xf>
    <xf numFmtId="49" fontId="13" fillId="0" borderId="0" xfId="0" applyNumberFormat="1" applyFont="1" applyAlignment="1">
      <alignment vertical="top"/>
    </xf>
    <xf numFmtId="49" fontId="13" fillId="2" borderId="0" xfId="0" applyNumberFormat="1" applyFont="1" applyFill="1" applyAlignment="1">
      <alignment vertical="top"/>
    </xf>
    <xf numFmtId="49" fontId="13" fillId="3" borderId="0" xfId="0" applyNumberFormat="1" applyFont="1" applyFill="1" applyAlignment="1">
      <alignment vertical="top"/>
    </xf>
    <xf numFmtId="49" fontId="13" fillId="4" borderId="0" xfId="0" applyNumberFormat="1" applyFont="1" applyFill="1" applyAlignment="1">
      <alignment vertical="top"/>
    </xf>
    <xf numFmtId="49" fontId="13" fillId="5" borderId="0" xfId="0" applyNumberFormat="1" applyFont="1" applyFill="1" applyAlignment="1">
      <alignment vertical="top"/>
    </xf>
    <xf numFmtId="0" fontId="5" fillId="0" borderId="0" xfId="0" applyFont="1" applyAlignment="1">
      <alignment vertical="top" wrapText="1"/>
    </xf>
    <xf numFmtId="164" fontId="8" fillId="0" borderId="1" xfId="192" applyNumberFormat="1" applyFont="1" applyBorder="1" applyAlignment="1" applyProtection="1">
      <alignment horizontal="center" vertical="top" wrapText="1"/>
      <protection hidden="1"/>
    </xf>
    <xf numFmtId="4" fontId="14" fillId="0" borderId="1" xfId="192" applyNumberFormat="1" applyFont="1" applyBorder="1" applyAlignment="1" applyProtection="1">
      <alignment horizontal="center" vertical="top" wrapText="1"/>
      <protection hidden="1"/>
    </xf>
    <xf numFmtId="0" fontId="5" fillId="0" borderId="1" xfId="0" applyFont="1" applyBorder="1" applyAlignment="1">
      <alignment vertical="top"/>
    </xf>
    <xf numFmtId="2" fontId="8" fillId="0" borderId="1" xfId="168" applyNumberFormat="1" applyFont="1" applyBorder="1" applyAlignment="1">
      <alignment horizontal="right" vertical="top"/>
    </xf>
    <xf numFmtId="164" fontId="8" fillId="0" borderId="0" xfId="192" applyNumberFormat="1" applyFont="1" applyAlignment="1" applyProtection="1">
      <alignment vertical="top" wrapText="1"/>
      <protection hidden="1"/>
    </xf>
    <xf numFmtId="164" fontId="8" fillId="0" borderId="3" xfId="192" applyNumberFormat="1" applyFont="1" applyBorder="1" applyAlignment="1" applyProtection="1">
      <alignment vertical="top" wrapText="1"/>
      <protection hidden="1"/>
    </xf>
    <xf numFmtId="2" fontId="5" fillId="0" borderId="0" xfId="0" applyNumberFormat="1" applyFont="1" applyAlignment="1">
      <alignment vertical="top"/>
    </xf>
    <xf numFmtId="164" fontId="15" fillId="0" borderId="0" xfId="192" applyNumberFormat="1" applyFont="1" applyAlignment="1" applyProtection="1">
      <alignment vertical="top" wrapText="1"/>
      <protection hidden="1"/>
    </xf>
    <xf numFmtId="2" fontId="11" fillId="0" borderId="0" xfId="0" applyNumberFormat="1" applyFont="1" applyAlignment="1">
      <alignment vertical="top"/>
    </xf>
    <xf numFmtId="49" fontId="16" fillId="0" borderId="0" xfId="168" applyNumberFormat="1" applyFont="1" applyAlignment="1">
      <alignment vertical="top"/>
    </xf>
    <xf numFmtId="49" fontId="16" fillId="2" borderId="0" xfId="168" applyNumberFormat="1" applyFont="1" applyFill="1" applyAlignment="1">
      <alignment vertical="top"/>
    </xf>
    <xf numFmtId="49" fontId="16" fillId="3" borderId="0" xfId="168" applyNumberFormat="1" applyFont="1" applyFill="1" applyAlignment="1">
      <alignment vertical="top"/>
    </xf>
    <xf numFmtId="49" fontId="16" fillId="4" borderId="0" xfId="168" applyNumberFormat="1" applyFont="1" applyFill="1" applyAlignment="1">
      <alignment vertical="top"/>
    </xf>
    <xf numFmtId="49" fontId="16" fillId="5" borderId="0" xfId="168" applyNumberFormat="1" applyFont="1" applyFill="1" applyAlignment="1">
      <alignment vertical="top"/>
    </xf>
    <xf numFmtId="0" fontId="16" fillId="0" borderId="0" xfId="168" applyFont="1" applyAlignment="1">
      <alignment vertical="top"/>
    </xf>
    <xf numFmtId="0" fontId="16" fillId="0" borderId="0" xfId="168" applyFont="1" applyAlignment="1">
      <alignment horizontal="center" vertical="top"/>
    </xf>
    <xf numFmtId="0" fontId="17" fillId="0" borderId="0" xfId="168" applyFont="1" applyAlignment="1">
      <alignment vertical="top"/>
    </xf>
    <xf numFmtId="0" fontId="17" fillId="0" borderId="0" xfId="168" applyFont="1" applyAlignment="1">
      <alignment horizontal="center" vertical="top"/>
    </xf>
    <xf numFmtId="0" fontId="16" fillId="0" borderId="1" xfId="168" applyFont="1" applyBorder="1" applyAlignment="1">
      <alignment horizontal="center" vertical="top" wrapText="1"/>
    </xf>
    <xf numFmtId="0" fontId="16" fillId="0" borderId="1" xfId="168" applyFont="1" applyBorder="1" applyAlignment="1">
      <alignment horizontal="center" vertical="top"/>
    </xf>
    <xf numFmtId="164" fontId="8" fillId="0" borderId="3" xfId="192" applyNumberFormat="1" applyFont="1" applyBorder="1" applyAlignment="1" applyProtection="1">
      <alignment horizontal="center" vertical="top" wrapText="1"/>
      <protection hidden="1"/>
    </xf>
    <xf numFmtId="2" fontId="16" fillId="3" borderId="1" xfId="168" applyNumberFormat="1" applyFont="1" applyFill="1" applyBorder="1" applyAlignment="1">
      <alignment horizontal="center" vertical="top"/>
    </xf>
    <xf numFmtId="49" fontId="16" fillId="4" borderId="0" xfId="168" applyNumberFormat="1" applyFont="1" applyFill="1" applyAlignment="1">
      <alignment horizontal="center" vertical="top"/>
    </xf>
    <xf numFmtId="2" fontId="16" fillId="2" borderId="1" xfId="168" applyNumberFormat="1" applyFont="1" applyFill="1" applyBorder="1" applyAlignment="1">
      <alignment horizontal="center" vertical="top"/>
    </xf>
    <xf numFmtId="2" fontId="16" fillId="7" borderId="1" xfId="168" applyNumberFormat="1" applyFont="1" applyFill="1" applyBorder="1" applyAlignment="1">
      <alignment horizontal="center" vertical="top" wrapText="1"/>
    </xf>
    <xf numFmtId="2" fontId="16" fillId="4" borderId="1" xfId="168" applyNumberFormat="1" applyFont="1" applyFill="1" applyBorder="1" applyAlignment="1">
      <alignment horizontal="center" vertical="top"/>
    </xf>
    <xf numFmtId="3" fontId="16" fillId="0" borderId="1" xfId="168" applyNumberFormat="1" applyFont="1" applyBorder="1" applyAlignment="1">
      <alignment horizontal="center" vertical="top"/>
    </xf>
    <xf numFmtId="0" fontId="13" fillId="0" borderId="0" xfId="168" applyFont="1" applyAlignment="1">
      <alignment horizontal="right" vertical="top"/>
    </xf>
    <xf numFmtId="4" fontId="18" fillId="0" borderId="1" xfId="168" applyNumberFormat="1" applyFont="1" applyBorder="1" applyAlignment="1">
      <alignment horizontal="center" vertical="top"/>
    </xf>
    <xf numFmtId="4" fontId="16" fillId="0" borderId="0" xfId="168" applyNumberFormat="1" applyFont="1" applyAlignment="1">
      <alignment horizontal="center" vertical="top"/>
    </xf>
    <xf numFmtId="49" fontId="8" fillId="0" borderId="3" xfId="192" applyNumberFormat="1" applyFont="1" applyBorder="1" applyAlignment="1" applyProtection="1">
      <alignment horizontal="center" vertical="top" wrapText="1"/>
      <protection hidden="1"/>
    </xf>
    <xf numFmtId="49" fontId="16" fillId="5" borderId="0" xfId="168" applyNumberFormat="1" applyFont="1" applyFill="1" applyAlignment="1">
      <alignment horizontal="center" vertical="top"/>
    </xf>
    <xf numFmtId="49" fontId="16" fillId="3" borderId="0" xfId="168" applyNumberFormat="1" applyFont="1" applyFill="1" applyAlignment="1">
      <alignment horizontal="center" vertical="top"/>
    </xf>
    <xf numFmtId="4" fontId="19" fillId="0" borderId="1" xfId="168" applyNumberFormat="1" applyFont="1" applyBorder="1" applyAlignment="1">
      <alignment horizontal="center" vertical="top"/>
    </xf>
    <xf numFmtId="4" fontId="19" fillId="0" borderId="0" xfId="168" applyNumberFormat="1" applyFont="1" applyAlignment="1">
      <alignment horizontal="center" vertical="top"/>
    </xf>
    <xf numFmtId="0" fontId="19" fillId="0" borderId="0" xfId="168" applyFont="1" applyAlignment="1">
      <alignment horizontal="center" vertical="top"/>
    </xf>
    <xf numFmtId="49" fontId="20" fillId="0" borderId="3" xfId="192" applyNumberFormat="1" applyFont="1" applyBorder="1" applyAlignment="1" applyProtection="1">
      <alignment horizontal="center" vertical="top" wrapText="1"/>
      <protection hidden="1"/>
    </xf>
    <xf numFmtId="164" fontId="20" fillId="0" borderId="1" xfId="192" applyNumberFormat="1" applyFont="1" applyBorder="1" applyAlignment="1" applyProtection="1">
      <alignment vertical="top" wrapText="1"/>
      <protection hidden="1"/>
    </xf>
    <xf numFmtId="0" fontId="19" fillId="0" borderId="0" xfId="168" applyFont="1" applyAlignment="1">
      <alignment vertical="top"/>
    </xf>
    <xf numFmtId="49" fontId="16" fillId="2" borderId="0" xfId="168" applyNumberFormat="1" applyFont="1" applyFill="1" applyAlignment="1">
      <alignment horizontal="center" vertical="top"/>
    </xf>
    <xf numFmtId="2" fontId="16" fillId="5" borderId="1" xfId="168" applyNumberFormat="1" applyFont="1" applyFill="1" applyBorder="1" applyAlignment="1">
      <alignment horizontal="center" vertical="top"/>
    </xf>
    <xf numFmtId="2" fontId="16" fillId="7" borderId="1" xfId="168" applyNumberFormat="1" applyFont="1" applyFill="1" applyBorder="1" applyAlignment="1">
      <alignment horizontal="center" vertical="top"/>
    </xf>
    <xf numFmtId="49" fontId="16" fillId="4" borderId="1" xfId="168" applyNumberFormat="1" applyFont="1" applyFill="1" applyBorder="1" applyAlignment="1">
      <alignment horizontal="center" vertical="top"/>
    </xf>
    <xf numFmtId="0" fontId="17" fillId="0" borderId="1" xfId="168" applyFont="1" applyBorder="1" applyAlignment="1">
      <alignment horizontal="center" vertical="top"/>
    </xf>
    <xf numFmtId="49" fontId="17" fillId="0" borderId="1" xfId="168" applyNumberFormat="1" applyFont="1" applyBorder="1" applyAlignment="1">
      <alignment horizontal="left" vertical="top"/>
    </xf>
    <xf numFmtId="4" fontId="17" fillId="0" borderId="1" xfId="168" applyNumberFormat="1" applyFont="1" applyBorder="1" applyAlignment="1">
      <alignment horizontal="center" vertical="top"/>
    </xf>
    <xf numFmtId="4" fontId="16" fillId="0" borderId="1" xfId="168" applyNumberFormat="1" applyFont="1" applyBorder="1" applyAlignment="1">
      <alignment horizontal="center" vertical="top" wrapText="1"/>
    </xf>
    <xf numFmtId="43" fontId="16" fillId="0" borderId="0" xfId="168" applyNumberFormat="1" applyFont="1" applyAlignment="1">
      <alignment vertical="top"/>
    </xf>
    <xf numFmtId="164" fontId="13" fillId="0" borderId="1" xfId="192" applyNumberFormat="1" applyFont="1" applyBorder="1" applyAlignment="1" applyProtection="1">
      <alignment horizontal="left" vertical="top" wrapText="1"/>
      <protection hidden="1"/>
    </xf>
    <xf numFmtId="0" fontId="13" fillId="4" borderId="1" xfId="168" applyFont="1" applyFill="1" applyBorder="1" applyAlignment="1">
      <alignment horizontal="center" vertical="top" wrapText="1"/>
    </xf>
    <xf numFmtId="0" fontId="13" fillId="3" borderId="1" xfId="168" applyFont="1" applyFill="1" applyBorder="1" applyAlignment="1">
      <alignment horizontal="center" vertical="top" wrapText="1"/>
    </xf>
    <xf numFmtId="0" fontId="13" fillId="2" borderId="1" xfId="168" applyFont="1" applyFill="1" applyBorder="1" applyAlignment="1">
      <alignment horizontal="center" vertical="top" wrapText="1"/>
    </xf>
    <xf numFmtId="4" fontId="13" fillId="3" borderId="1" xfId="168" applyNumberFormat="1" applyFont="1" applyFill="1" applyBorder="1" applyAlignment="1">
      <alignment horizontal="center" vertical="top" wrapText="1"/>
    </xf>
    <xf numFmtId="4" fontId="13" fillId="0" borderId="1" xfId="168" applyNumberFormat="1" applyFont="1" applyBorder="1" applyAlignment="1">
      <alignment horizontal="center" vertical="top"/>
    </xf>
    <xf numFmtId="4" fontId="13" fillId="2" borderId="1" xfId="168" applyNumberFormat="1" applyFont="1" applyFill="1" applyBorder="1" applyAlignment="1">
      <alignment horizontal="center" vertical="top"/>
    </xf>
    <xf numFmtId="0" fontId="13" fillId="0" borderId="1" xfId="168" applyFont="1" applyBorder="1" applyAlignment="1">
      <alignment horizontal="center" vertical="top" wrapText="1"/>
    </xf>
    <xf numFmtId="0" fontId="13" fillId="5" borderId="1" xfId="168" applyFont="1" applyFill="1" applyBorder="1" applyAlignment="1">
      <alignment horizontal="center" vertical="top" wrapText="1"/>
    </xf>
    <xf numFmtId="4" fontId="13" fillId="8" borderId="1" xfId="168" applyNumberFormat="1" applyFont="1" applyFill="1" applyBorder="1" applyAlignment="1">
      <alignment horizontal="center" vertical="top" wrapText="1"/>
    </xf>
    <xf numFmtId="4" fontId="13" fillId="3" borderId="1" xfId="168" applyNumberFormat="1" applyFont="1" applyFill="1" applyBorder="1" applyAlignment="1">
      <alignment horizontal="center" vertical="top"/>
    </xf>
    <xf numFmtId="0" fontId="18" fillId="0" borderId="0" xfId="168" applyFont="1" applyAlignment="1">
      <alignment horizontal="center" vertical="top"/>
    </xf>
    <xf numFmtId="164" fontId="18" fillId="0" borderId="3" xfId="192" applyNumberFormat="1" applyFont="1" applyBorder="1" applyAlignment="1" applyProtection="1">
      <alignment horizontal="left" vertical="top" wrapText="1"/>
      <protection hidden="1"/>
    </xf>
    <xf numFmtId="0" fontId="18" fillId="4" borderId="1" xfId="168" applyFont="1" applyFill="1" applyBorder="1" applyAlignment="1">
      <alignment horizontal="center" vertical="top" wrapText="1"/>
    </xf>
    <xf numFmtId="0" fontId="18" fillId="3" borderId="1" xfId="168" applyFont="1" applyFill="1" applyBorder="1" applyAlignment="1">
      <alignment horizontal="center" vertical="top" wrapText="1"/>
    </xf>
    <xf numFmtId="0" fontId="18" fillId="2" borderId="1" xfId="168" applyFont="1" applyFill="1" applyBorder="1" applyAlignment="1">
      <alignment horizontal="center" vertical="top" wrapText="1"/>
    </xf>
    <xf numFmtId="0" fontId="18" fillId="0" borderId="1" xfId="168" applyFont="1" applyBorder="1" applyAlignment="1">
      <alignment horizontal="center" vertical="top" wrapText="1"/>
    </xf>
    <xf numFmtId="4" fontId="18" fillId="8" borderId="1" xfId="168" applyNumberFormat="1" applyFont="1" applyFill="1" applyBorder="1" applyAlignment="1">
      <alignment horizontal="center" vertical="top" wrapText="1"/>
    </xf>
    <xf numFmtId="4" fontId="18" fillId="3" borderId="1" xfId="168" applyNumberFormat="1" applyFont="1" applyFill="1" applyBorder="1" applyAlignment="1">
      <alignment horizontal="center" vertical="top"/>
    </xf>
    <xf numFmtId="4" fontId="18" fillId="0" borderId="0" xfId="168" applyNumberFormat="1" applyFont="1" applyAlignment="1">
      <alignment horizontal="center" vertical="top"/>
    </xf>
    <xf numFmtId="164" fontId="13" fillId="0" borderId="1" xfId="192" applyNumberFormat="1" applyFont="1" applyBorder="1" applyAlignment="1" applyProtection="1">
      <alignment vertical="top" wrapText="1"/>
      <protection hidden="1"/>
    </xf>
    <xf numFmtId="4" fontId="13" fillId="8" borderId="1" xfId="168" applyNumberFormat="1" applyFont="1" applyFill="1" applyBorder="1" applyAlignment="1">
      <alignment horizontal="center" vertical="top"/>
    </xf>
    <xf numFmtId="4" fontId="13" fillId="2" borderId="1" xfId="168" applyNumberFormat="1" applyFont="1" applyFill="1" applyBorder="1" applyAlignment="1">
      <alignment horizontal="center" vertical="top" wrapText="1"/>
    </xf>
    <xf numFmtId="4" fontId="13" fillId="5" borderId="1" xfId="168" applyNumberFormat="1" applyFont="1" applyFill="1" applyBorder="1" applyAlignment="1">
      <alignment horizontal="center" vertical="top" wrapText="1"/>
    </xf>
    <xf numFmtId="164" fontId="13" fillId="0" borderId="2" xfId="192" applyNumberFormat="1" applyFont="1" applyBorder="1" applyAlignment="1" applyProtection="1">
      <alignment horizontal="left" vertical="top" wrapText="1"/>
      <protection hidden="1"/>
    </xf>
    <xf numFmtId="0" fontId="13" fillId="4" borderId="2" xfId="168" applyFont="1" applyFill="1" applyBorder="1" applyAlignment="1">
      <alignment horizontal="center" vertical="top" wrapText="1"/>
    </xf>
    <xf numFmtId="0" fontId="13" fillId="2" borderId="2" xfId="168" applyFont="1" applyFill="1" applyBorder="1" applyAlignment="1">
      <alignment horizontal="center" vertical="top" wrapText="1"/>
    </xf>
    <xf numFmtId="0" fontId="13" fillId="5" borderId="2" xfId="168" applyFont="1" applyFill="1" applyBorder="1" applyAlignment="1">
      <alignment horizontal="center" vertical="top" wrapText="1"/>
    </xf>
    <xf numFmtId="0" fontId="13" fillId="3" borderId="2" xfId="168" applyFont="1" applyFill="1" applyBorder="1" applyAlignment="1">
      <alignment horizontal="center" vertical="top" wrapText="1"/>
    </xf>
    <xf numFmtId="0" fontId="13" fillId="0" borderId="2" xfId="168" applyFont="1" applyBorder="1" applyAlignment="1">
      <alignment horizontal="center" vertical="top" wrapText="1"/>
    </xf>
    <xf numFmtId="4" fontId="13" fillId="8" borderId="2" xfId="168" applyNumberFormat="1" applyFont="1" applyFill="1" applyBorder="1" applyAlignment="1">
      <alignment horizontal="center" vertical="top" wrapText="1"/>
    </xf>
    <xf numFmtId="4" fontId="13" fillId="0" borderId="2" xfId="168" applyNumberFormat="1" applyFont="1" applyBorder="1" applyAlignment="1">
      <alignment horizontal="center" vertical="top"/>
    </xf>
    <xf numFmtId="4" fontId="13" fillId="5" borderId="2" xfId="168" applyNumberFormat="1" applyFont="1" applyFill="1" applyBorder="1" applyAlignment="1">
      <alignment horizontal="center" vertical="top"/>
    </xf>
    <xf numFmtId="4" fontId="18" fillId="0" borderId="2" xfId="168" applyNumberFormat="1" applyFont="1" applyBorder="1" applyAlignment="1">
      <alignment horizontal="center" vertical="top"/>
    </xf>
    <xf numFmtId="49" fontId="22" fillId="0" borderId="1" xfId="168" applyNumberFormat="1" applyFont="1" applyBorder="1" applyAlignment="1">
      <alignment horizontal="left" vertical="top"/>
    </xf>
    <xf numFmtId="4" fontId="22" fillId="0" borderId="1" xfId="168" applyNumberFormat="1" applyFont="1" applyBorder="1" applyAlignment="1">
      <alignment horizontal="center" vertical="top"/>
    </xf>
    <xf numFmtId="0" fontId="5" fillId="0" borderId="0" xfId="0" applyFont="1" applyAlignment="1">
      <alignment wrapText="1"/>
    </xf>
    <xf numFmtId="164" fontId="14" fillId="0" borderId="1" xfId="192" applyNumberFormat="1" applyFont="1" applyBorder="1" applyAlignment="1" applyProtection="1">
      <alignment horizontal="center" vertical="top" wrapText="1"/>
      <protection hidden="1"/>
    </xf>
    <xf numFmtId="2" fontId="5" fillId="0" borderId="1" xfId="0" applyNumberFormat="1" applyFont="1" applyBorder="1" applyAlignment="1">
      <alignment vertical="top"/>
    </xf>
    <xf numFmtId="0" fontId="10" fillId="0" borderId="1" xfId="0" applyFont="1" applyBorder="1"/>
    <xf numFmtId="49" fontId="8" fillId="0" borderId="1" xfId="192" applyNumberFormat="1" applyFont="1" applyBorder="1" applyAlignment="1" applyProtection="1">
      <alignment horizontal="center" vertical="top" wrapText="1"/>
      <protection hidden="1"/>
    </xf>
    <xf numFmtId="0" fontId="8" fillId="0" borderId="3" xfId="192" applyFont="1" applyBorder="1" applyAlignment="1" applyProtection="1">
      <alignment horizontal="center" vertical="top" wrapText="1"/>
      <protection hidden="1"/>
    </xf>
    <xf numFmtId="0" fontId="11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10" fontId="8" fillId="0" borderId="0" xfId="0" applyNumberFormat="1" applyFont="1" applyAlignment="1">
      <alignment vertical="top"/>
    </xf>
    <xf numFmtId="0" fontId="8" fillId="0" borderId="5" xfId="0" applyFont="1" applyBorder="1" applyAlignment="1">
      <alignment horizontal="center" vertical="top" wrapText="1"/>
    </xf>
    <xf numFmtId="0" fontId="25" fillId="9" borderId="0" xfId="0" applyFont="1" applyFill="1" applyAlignment="1">
      <alignment vertical="top"/>
    </xf>
    <xf numFmtId="0" fontId="8" fillId="9" borderId="12" xfId="0" applyFont="1" applyFill="1" applyBorder="1" applyAlignment="1">
      <alignment horizontal="center" vertical="top" wrapText="1"/>
    </xf>
    <xf numFmtId="10" fontId="25" fillId="9" borderId="13" xfId="0" applyNumberFormat="1" applyFont="1" applyFill="1" applyBorder="1" applyAlignment="1">
      <alignment horizontal="center" vertical="top" wrapText="1"/>
    </xf>
    <xf numFmtId="10" fontId="25" fillId="9" borderId="1" xfId="0" applyNumberFormat="1" applyFont="1" applyFill="1" applyBorder="1" applyAlignment="1">
      <alignment horizontal="center" vertical="top" wrapText="1"/>
    </xf>
    <xf numFmtId="0" fontId="25" fillId="9" borderId="1" xfId="0" applyFont="1" applyFill="1" applyBorder="1" applyAlignment="1">
      <alignment horizontal="center" vertical="top" wrapText="1"/>
    </xf>
    <xf numFmtId="0" fontId="25" fillId="9" borderId="14" xfId="0" applyFont="1" applyFill="1" applyBorder="1" applyAlignment="1">
      <alignment horizontal="center" vertical="top" wrapText="1"/>
    </xf>
    <xf numFmtId="10" fontId="25" fillId="9" borderId="15" xfId="0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vertical="top"/>
    </xf>
    <xf numFmtId="0" fontId="15" fillId="3" borderId="12" xfId="0" applyFont="1" applyFill="1" applyBorder="1" applyAlignment="1">
      <alignment vertical="top" wrapText="1"/>
    </xf>
    <xf numFmtId="10" fontId="15" fillId="3" borderId="13" xfId="0" applyNumberFormat="1" applyFont="1" applyFill="1" applyBorder="1" applyAlignment="1">
      <alignment vertical="top"/>
    </xf>
    <xf numFmtId="0" fontId="15" fillId="3" borderId="1" xfId="0" applyFont="1" applyFill="1" applyBorder="1" applyAlignment="1">
      <alignment vertical="top"/>
    </xf>
    <xf numFmtId="0" fontId="15" fillId="3" borderId="14" xfId="0" applyFont="1" applyFill="1" applyBorder="1" applyAlignment="1">
      <alignment vertical="top"/>
    </xf>
    <xf numFmtId="0" fontId="26" fillId="9" borderId="0" xfId="0" applyFont="1" applyFill="1" applyAlignment="1">
      <alignment vertical="top"/>
    </xf>
    <xf numFmtId="0" fontId="8" fillId="9" borderId="12" xfId="0" applyFont="1" applyFill="1" applyBorder="1" applyAlignment="1">
      <alignment vertical="top" wrapText="1"/>
    </xf>
    <xf numFmtId="10" fontId="8" fillId="9" borderId="13" xfId="0" applyNumberFormat="1" applyFont="1" applyFill="1" applyBorder="1" applyAlignment="1">
      <alignment vertical="top"/>
    </xf>
    <xf numFmtId="0" fontId="8" fillId="9" borderId="1" xfId="0" applyFont="1" applyFill="1" applyBorder="1" applyAlignment="1">
      <alignment vertical="top"/>
    </xf>
    <xf numFmtId="0" fontId="8" fillId="9" borderId="14" xfId="0" applyFont="1" applyFill="1" applyBorder="1" applyAlignment="1">
      <alignment vertical="top"/>
    </xf>
    <xf numFmtId="0" fontId="8" fillId="9" borderId="1" xfId="0" applyFont="1" applyFill="1" applyBorder="1" applyAlignment="1">
      <alignment horizontal="right" vertical="top"/>
    </xf>
    <xf numFmtId="0" fontId="8" fillId="0" borderId="12" xfId="0" applyFont="1" applyBorder="1" applyAlignment="1">
      <alignment vertical="top" wrapText="1"/>
    </xf>
    <xf numFmtId="10" fontId="8" fillId="0" borderId="13" xfId="0" applyNumberFormat="1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8" fillId="0" borderId="14" xfId="0" applyFont="1" applyBorder="1" applyAlignment="1">
      <alignment vertical="top"/>
    </xf>
    <xf numFmtId="0" fontId="8" fillId="9" borderId="0" xfId="0" applyFont="1" applyFill="1" applyAlignment="1">
      <alignment vertical="top"/>
    </xf>
    <xf numFmtId="0" fontId="9" fillId="9" borderId="0" xfId="0" applyFont="1" applyFill="1" applyAlignment="1">
      <alignment vertical="top"/>
    </xf>
    <xf numFmtId="0" fontId="8" fillId="10" borderId="1" xfId="0" applyFont="1" applyFill="1" applyBorder="1" applyAlignment="1">
      <alignment vertical="top"/>
    </xf>
    <xf numFmtId="0" fontId="8" fillId="0" borderId="1" xfId="0" applyFont="1" applyBorder="1" applyAlignment="1">
      <alignment horizontal="right" vertical="top"/>
    </xf>
    <xf numFmtId="0" fontId="12" fillId="0" borderId="0" xfId="0" applyFont="1" applyAlignment="1">
      <alignment vertical="top"/>
    </xf>
    <xf numFmtId="0" fontId="12" fillId="11" borderId="0" xfId="0" applyFont="1" applyFill="1" applyAlignment="1">
      <alignment vertical="top"/>
    </xf>
    <xf numFmtId="0" fontId="15" fillId="11" borderId="12" xfId="0" applyFont="1" applyFill="1" applyBorder="1" applyAlignment="1">
      <alignment vertical="top" wrapText="1"/>
    </xf>
    <xf numFmtId="10" fontId="15" fillId="11" borderId="13" xfId="0" applyNumberFormat="1" applyFont="1" applyFill="1" applyBorder="1" applyAlignment="1">
      <alignment vertical="top"/>
    </xf>
    <xf numFmtId="0" fontId="15" fillId="11" borderId="1" xfId="0" applyFont="1" applyFill="1" applyBorder="1" applyAlignment="1">
      <alignment vertical="top"/>
    </xf>
    <xf numFmtId="0" fontId="15" fillId="11" borderId="14" xfId="0" applyFont="1" applyFill="1" applyBorder="1" applyAlignment="1">
      <alignment vertical="top"/>
    </xf>
    <xf numFmtId="0" fontId="15" fillId="3" borderId="16" xfId="0" applyFont="1" applyFill="1" applyBorder="1" applyAlignment="1">
      <alignment vertical="top" wrapText="1"/>
    </xf>
    <xf numFmtId="10" fontId="15" fillId="3" borderId="17" xfId="0" applyNumberFormat="1" applyFont="1" applyFill="1" applyBorder="1" applyAlignment="1">
      <alignment vertical="top"/>
    </xf>
    <xf numFmtId="10" fontId="15" fillId="3" borderId="1" xfId="0" applyNumberFormat="1" applyFont="1" applyFill="1" applyBorder="1" applyAlignment="1">
      <alignment vertical="top"/>
    </xf>
    <xf numFmtId="2" fontId="15" fillId="3" borderId="18" xfId="0" applyNumberFormat="1" applyFont="1" applyFill="1" applyBorder="1" applyAlignment="1">
      <alignment vertical="top"/>
    </xf>
    <xf numFmtId="0" fontId="27" fillId="0" borderId="0" xfId="0" applyFont="1" applyAlignment="1">
      <alignment vertical="top"/>
    </xf>
    <xf numFmtId="0" fontId="27" fillId="0" borderId="0" xfId="0" applyFont="1" applyAlignment="1">
      <alignment horizontal="center" vertical="top" wrapText="1"/>
    </xf>
    <xf numFmtId="0" fontId="28" fillId="0" borderId="0" xfId="0" applyFont="1" applyAlignment="1">
      <alignment horizontal="center" vertical="top" wrapText="1"/>
    </xf>
    <xf numFmtId="0" fontId="5" fillId="0" borderId="0" xfId="0" applyFont="1" applyAlignment="1">
      <alignment horizontal="right" vertical="top"/>
    </xf>
    <xf numFmtId="0" fontId="29" fillId="12" borderId="1" xfId="191" applyFont="1" applyFill="1" applyBorder="1"/>
    <xf numFmtId="165" fontId="1" fillId="12" borderId="1" xfId="0" applyNumberFormat="1" applyFont="1" applyFill="1" applyBorder="1" applyProtection="1">
      <protection hidden="1"/>
    </xf>
    <xf numFmtId="0" fontId="8" fillId="12" borderId="1" xfId="0" applyFont="1" applyFill="1" applyBorder="1" applyAlignment="1">
      <alignment vertical="top"/>
    </xf>
    <xf numFmtId="165" fontId="1" fillId="12" borderId="3" xfId="0" applyNumberFormat="1" applyFont="1" applyFill="1" applyBorder="1" applyProtection="1">
      <protection hidden="1"/>
    </xf>
    <xf numFmtId="165" fontId="1" fillId="12" borderId="19" xfId="0" applyNumberFormat="1" applyFont="1" applyFill="1" applyBorder="1" applyProtection="1">
      <protection hidden="1"/>
    </xf>
    <xf numFmtId="165" fontId="8" fillId="0" borderId="0" xfId="66" applyNumberFormat="1" applyFont="1" applyAlignment="1" applyProtection="1">
      <alignment vertical="top"/>
      <protection hidden="1"/>
    </xf>
    <xf numFmtId="165" fontId="15" fillId="0" borderId="0" xfId="66" applyNumberFormat="1" applyFont="1" applyAlignment="1" applyProtection="1">
      <alignment vertical="top"/>
      <protection hidden="1"/>
    </xf>
    <xf numFmtId="165" fontId="5" fillId="0" borderId="0" xfId="0" applyNumberFormat="1" applyFont="1" applyAlignment="1">
      <alignment vertical="top"/>
    </xf>
    <xf numFmtId="0" fontId="30" fillId="0" borderId="0" xfId="0" applyFont="1" applyAlignment="1">
      <alignment vertical="top"/>
    </xf>
    <xf numFmtId="164" fontId="8" fillId="0" borderId="0" xfId="192" applyNumberFormat="1" applyFont="1" applyAlignment="1" applyProtection="1">
      <alignment horizontal="center" vertical="top" wrapText="1"/>
      <protection hidden="1"/>
    </xf>
    <xf numFmtId="0" fontId="31" fillId="0" borderId="0" xfId="0" applyFont="1" applyAlignment="1">
      <alignment vertical="top" wrapText="1"/>
    </xf>
    <xf numFmtId="164" fontId="8" fillId="13" borderId="1" xfId="192" applyNumberFormat="1" applyFont="1" applyFill="1" applyBorder="1" applyAlignment="1" applyProtection="1">
      <alignment vertical="top" wrapText="1"/>
      <protection hidden="1"/>
    </xf>
    <xf numFmtId="4" fontId="8" fillId="13" borderId="1" xfId="193" applyNumberFormat="1" applyFont="1" applyFill="1" applyBorder="1" applyAlignment="1" applyProtection="1">
      <alignment horizontal="center" vertical="top" wrapText="1"/>
      <protection hidden="1"/>
    </xf>
    <xf numFmtId="4" fontId="8" fillId="13" borderId="1" xfId="0" applyNumberFormat="1" applyFont="1" applyFill="1" applyBorder="1" applyAlignment="1">
      <alignment vertical="top"/>
    </xf>
    <xf numFmtId="0" fontId="5" fillId="13" borderId="1" xfId="0" applyFont="1" applyFill="1" applyBorder="1" applyAlignment="1">
      <alignment vertical="top"/>
    </xf>
    <xf numFmtId="165" fontId="8" fillId="0" borderId="1" xfId="66" applyNumberFormat="1" applyFont="1" applyBorder="1" applyAlignment="1" applyProtection="1">
      <alignment vertical="top"/>
      <protection hidden="1"/>
    </xf>
    <xf numFmtId="0" fontId="0" fillId="0" borderId="0" xfId="0" applyAlignment="1">
      <alignment horizontal="left"/>
    </xf>
    <xf numFmtId="0" fontId="5" fillId="13" borderId="0" xfId="0" applyFont="1" applyFill="1" applyAlignment="1">
      <alignment vertical="top" wrapText="1"/>
    </xf>
    <xf numFmtId="4" fontId="8" fillId="13" borderId="1" xfId="192" applyNumberFormat="1" applyFont="1" applyFill="1" applyBorder="1" applyAlignment="1" applyProtection="1">
      <alignment horizontal="center" vertical="top" wrapText="1"/>
      <protection hidden="1"/>
    </xf>
    <xf numFmtId="0" fontId="8" fillId="13" borderId="1" xfId="0" applyFont="1" applyFill="1" applyBorder="1" applyAlignment="1">
      <alignment vertical="top"/>
    </xf>
    <xf numFmtId="164" fontId="8" fillId="10" borderId="1" xfId="192" applyNumberFormat="1" applyFont="1" applyFill="1" applyBorder="1" applyAlignment="1" applyProtection="1">
      <alignment horizontal="center" vertical="top" wrapText="1"/>
      <protection hidden="1"/>
    </xf>
    <xf numFmtId="164" fontId="8" fillId="7" borderId="1" xfId="192" applyNumberFormat="1" applyFont="1" applyFill="1" applyBorder="1" applyAlignment="1" applyProtection="1">
      <alignment horizontal="center" vertical="top" wrapText="1"/>
      <protection hidden="1"/>
    </xf>
    <xf numFmtId="4" fontId="8" fillId="13" borderId="1" xfId="66" applyNumberFormat="1" applyFont="1" applyFill="1" applyBorder="1" applyAlignment="1" applyProtection="1">
      <alignment vertical="top"/>
      <protection hidden="1"/>
    </xf>
    <xf numFmtId="4" fontId="8" fillId="13" borderId="1" xfId="66" applyNumberFormat="1" applyFont="1" applyFill="1" applyBorder="1" applyAlignment="1" applyProtection="1">
      <alignment horizontal="center" vertical="top"/>
      <protection hidden="1"/>
    </xf>
    <xf numFmtId="0" fontId="8" fillId="7" borderId="1" xfId="0" applyFont="1" applyFill="1" applyBorder="1" applyAlignment="1">
      <alignment vertical="top"/>
    </xf>
    <xf numFmtId="4" fontId="1" fillId="0" borderId="0" xfId="14" applyNumberFormat="1" applyFont="1" applyProtection="1">
      <protection hidden="1"/>
    </xf>
    <xf numFmtId="166" fontId="5" fillId="0" borderId="0" xfId="0" applyNumberFormat="1" applyFont="1" applyAlignment="1">
      <alignment vertical="top"/>
    </xf>
    <xf numFmtId="0" fontId="27" fillId="0" borderId="0" xfId="0" applyFont="1" applyAlignment="1">
      <alignment vertical="top" wrapText="1"/>
    </xf>
    <xf numFmtId="0" fontId="28" fillId="0" borderId="0" xfId="0" applyFont="1" applyAlignment="1">
      <alignment vertical="top" wrapText="1"/>
    </xf>
    <xf numFmtId="164" fontId="30" fillId="0" borderId="0" xfId="192" applyNumberFormat="1" applyFont="1" applyAlignment="1" applyProtection="1">
      <alignment horizontal="center" vertical="top" wrapText="1"/>
      <protection hidden="1"/>
    </xf>
    <xf numFmtId="165" fontId="8" fillId="13" borderId="1" xfId="66" applyNumberFormat="1" applyFont="1" applyFill="1" applyBorder="1" applyAlignment="1" applyProtection="1">
      <alignment vertical="top"/>
      <protection hidden="1"/>
    </xf>
    <xf numFmtId="0" fontId="8" fillId="13" borderId="1" xfId="0" applyFont="1" applyFill="1" applyBorder="1" applyAlignment="1">
      <alignment horizontal="right" vertical="top"/>
    </xf>
    <xf numFmtId="165" fontId="20" fillId="0" borderId="1" xfId="66" applyNumberFormat="1" applyFont="1" applyBorder="1" applyAlignment="1" applyProtection="1">
      <alignment vertical="top"/>
      <protection hidden="1"/>
    </xf>
    <xf numFmtId="0" fontId="20" fillId="0" borderId="1" xfId="0" applyFont="1" applyBorder="1" applyAlignment="1">
      <alignment vertical="top"/>
    </xf>
    <xf numFmtId="4" fontId="20" fillId="0" borderId="0" xfId="0" applyNumberFormat="1" applyFont="1" applyAlignment="1">
      <alignment vertical="top"/>
    </xf>
    <xf numFmtId="4" fontId="11" fillId="0" borderId="0" xfId="0" applyNumberFormat="1" applyFont="1" applyAlignment="1">
      <alignment vertical="top"/>
    </xf>
    <xf numFmtId="0" fontId="8" fillId="10" borderId="0" xfId="0" applyFont="1" applyFill="1" applyAlignment="1">
      <alignment vertical="top"/>
    </xf>
    <xf numFmtId="164" fontId="8" fillId="13" borderId="3" xfId="192" applyNumberFormat="1" applyFont="1" applyFill="1" applyBorder="1" applyAlignment="1" applyProtection="1">
      <alignment vertical="top" wrapText="1"/>
      <protection hidden="1"/>
    </xf>
    <xf numFmtId="2" fontId="8" fillId="13" borderId="1" xfId="0" applyNumberFormat="1" applyFont="1" applyFill="1" applyBorder="1" applyAlignment="1">
      <alignment vertical="top"/>
    </xf>
    <xf numFmtId="164" fontId="20" fillId="0" borderId="0" xfId="192" applyNumberFormat="1" applyFont="1" applyAlignment="1" applyProtection="1">
      <alignment vertical="top" wrapText="1"/>
      <protection hidden="1"/>
    </xf>
    <xf numFmtId="4" fontId="20" fillId="0" borderId="0" xfId="0" applyNumberFormat="1" applyFont="1" applyAlignment="1">
      <alignment horizontal="right" vertical="top" wrapText="1"/>
    </xf>
    <xf numFmtId="0" fontId="20" fillId="0" borderId="0" xfId="0" applyFont="1" applyAlignment="1">
      <alignment vertical="top"/>
    </xf>
    <xf numFmtId="165" fontId="20" fillId="0" borderId="0" xfId="66" applyNumberFormat="1" applyFont="1" applyAlignment="1" applyProtection="1">
      <alignment vertical="top"/>
      <protection hidden="1"/>
    </xf>
    <xf numFmtId="164" fontId="32" fillId="0" borderId="0" xfId="192" applyNumberFormat="1" applyFont="1" applyAlignment="1" applyProtection="1">
      <alignment vertical="top" wrapText="1"/>
      <protection hidden="1"/>
    </xf>
    <xf numFmtId="165" fontId="32" fillId="0" borderId="0" xfId="66" applyNumberFormat="1" applyFont="1" applyAlignment="1" applyProtection="1">
      <alignment vertical="top"/>
      <protection hidden="1"/>
    </xf>
    <xf numFmtId="0" fontId="15" fillId="10" borderId="0" xfId="0" applyFont="1" applyFill="1" applyAlignment="1">
      <alignment vertical="top"/>
    </xf>
    <xf numFmtId="165" fontId="15" fillId="0" borderId="0" xfId="14" applyNumberFormat="1" applyFont="1" applyAlignment="1" applyProtection="1">
      <alignment vertical="top"/>
      <protection hidden="1"/>
    </xf>
    <xf numFmtId="165" fontId="33" fillId="0" borderId="1" xfId="14" applyNumberFormat="1" applyFont="1" applyBorder="1" applyProtection="1">
      <protection hidden="1"/>
    </xf>
    <xf numFmtId="167" fontId="1" fillId="0" borderId="0" xfId="181" applyNumberFormat="1" applyFont="1"/>
    <xf numFmtId="2" fontId="8" fillId="14" borderId="1" xfId="0" applyNumberFormat="1" applyFont="1" applyFill="1" applyBorder="1" applyAlignment="1">
      <alignment vertical="top"/>
    </xf>
    <xf numFmtId="164" fontId="8" fillId="0" borderId="2" xfId="192" applyNumberFormat="1" applyFont="1" applyBorder="1" applyAlignment="1" applyProtection="1">
      <alignment horizontal="center" vertical="top" wrapText="1"/>
      <protection hidden="1"/>
    </xf>
    <xf numFmtId="164" fontId="8" fillId="13" borderId="3" xfId="192" applyNumberFormat="1" applyFont="1" applyFill="1" applyBorder="1" applyAlignment="1" applyProtection="1">
      <alignment horizontal="right" vertical="top" wrapText="1"/>
      <protection hidden="1"/>
    </xf>
    <xf numFmtId="164" fontId="8" fillId="13" borderId="20" xfId="192" applyNumberFormat="1" applyFont="1" applyFill="1" applyBorder="1" applyAlignment="1" applyProtection="1">
      <alignment horizontal="left" vertical="top" wrapText="1"/>
      <protection hidden="1"/>
    </xf>
    <xf numFmtId="4" fontId="34" fillId="13" borderId="1" xfId="0" applyNumberFormat="1" applyFont="1" applyFill="1" applyBorder="1" applyAlignment="1">
      <alignment horizontal="right" vertical="top" wrapText="1"/>
    </xf>
    <xf numFmtId="0" fontId="34" fillId="13" borderId="1" xfId="0" applyFont="1" applyFill="1" applyBorder="1" applyAlignment="1">
      <alignment horizontal="right" vertical="top" wrapText="1"/>
    </xf>
    <xf numFmtId="43" fontId="8" fillId="13" borderId="21" xfId="192" applyNumberFormat="1" applyFont="1" applyFill="1" applyBorder="1" applyAlignment="1" applyProtection="1">
      <alignment horizontal="right" vertical="top" wrapText="1"/>
      <protection hidden="1"/>
    </xf>
    <xf numFmtId="164" fontId="8" fillId="13" borderId="2" xfId="192" applyNumberFormat="1" applyFont="1" applyFill="1" applyBorder="1" applyAlignment="1" applyProtection="1">
      <alignment horizontal="right" vertical="top" wrapText="1"/>
      <protection hidden="1"/>
    </xf>
    <xf numFmtId="164" fontId="8" fillId="13" borderId="20" xfId="192" applyNumberFormat="1" applyFont="1" applyFill="1" applyBorder="1" applyAlignment="1" applyProtection="1">
      <alignment vertical="top" wrapText="1"/>
      <protection hidden="1"/>
    </xf>
    <xf numFmtId="43" fontId="8" fillId="13" borderId="22" xfId="192" applyNumberFormat="1" applyFont="1" applyFill="1" applyBorder="1" applyAlignment="1" applyProtection="1">
      <alignment horizontal="right" vertical="top" wrapText="1"/>
      <protection hidden="1"/>
    </xf>
    <xf numFmtId="0" fontId="34" fillId="13" borderId="1" xfId="0" applyFont="1" applyFill="1" applyBorder="1" applyAlignment="1">
      <alignment vertical="top"/>
    </xf>
    <xf numFmtId="164" fontId="8" fillId="13" borderId="23" xfId="192" applyNumberFormat="1" applyFont="1" applyFill="1" applyBorder="1" applyAlignment="1" applyProtection="1">
      <alignment vertical="top" wrapText="1"/>
      <protection hidden="1"/>
    </xf>
    <xf numFmtId="0" fontId="34" fillId="13" borderId="1" xfId="0" applyFont="1" applyFill="1" applyBorder="1" applyAlignment="1">
      <alignment horizontal="right" vertical="top"/>
    </xf>
    <xf numFmtId="168" fontId="8" fillId="13" borderId="22" xfId="192" applyNumberFormat="1" applyFont="1" applyFill="1" applyBorder="1" applyAlignment="1" applyProtection="1">
      <alignment horizontal="right" vertical="top" wrapText="1"/>
      <protection hidden="1"/>
    </xf>
    <xf numFmtId="0" fontId="5" fillId="13" borderId="3" xfId="0" applyFont="1" applyFill="1" applyBorder="1" applyAlignment="1">
      <alignment horizontal="right" vertical="top"/>
    </xf>
    <xf numFmtId="0" fontId="34" fillId="0" borderId="24" xfId="0" applyFont="1" applyBorder="1" applyAlignment="1">
      <alignment vertical="top"/>
    </xf>
    <xf numFmtId="0" fontId="35" fillId="0" borderId="0" xfId="0" applyFont="1" applyAlignment="1">
      <alignment vertical="top"/>
    </xf>
    <xf numFmtId="164" fontId="20" fillId="0" borderId="1" xfId="192" applyNumberFormat="1" applyFont="1" applyBorder="1" applyAlignment="1" applyProtection="1">
      <alignment horizontal="center" vertical="top" wrapText="1"/>
      <protection hidden="1"/>
    </xf>
    <xf numFmtId="43" fontId="8" fillId="13" borderId="1" xfId="192" applyNumberFormat="1" applyFont="1" applyFill="1" applyBorder="1" applyAlignment="1" applyProtection="1">
      <alignment horizontal="center" vertical="top" wrapText="1"/>
      <protection hidden="1"/>
    </xf>
    <xf numFmtId="165" fontId="8" fillId="13" borderId="1" xfId="0" applyNumberFormat="1" applyFont="1" applyFill="1" applyBorder="1" applyAlignment="1">
      <alignment vertical="top"/>
    </xf>
    <xf numFmtId="43" fontId="8" fillId="13" borderId="1" xfId="0" applyNumberFormat="1" applyFont="1" applyFill="1" applyBorder="1" applyAlignment="1">
      <alignment vertical="top"/>
    </xf>
    <xf numFmtId="167" fontId="5" fillId="0" borderId="0" xfId="0" applyNumberFormat="1" applyFont="1" applyAlignment="1">
      <alignment vertical="top"/>
    </xf>
    <xf numFmtId="0" fontId="30" fillId="0" borderId="1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164" fontId="9" fillId="0" borderId="0" xfId="192" applyNumberFormat="1" applyFont="1" applyAlignment="1" applyProtection="1">
      <alignment vertical="top" wrapText="1"/>
      <protection hidden="1"/>
    </xf>
    <xf numFmtId="165" fontId="9" fillId="0" borderId="0" xfId="0" applyNumberFormat="1" applyFont="1" applyAlignment="1">
      <alignment vertical="top"/>
    </xf>
    <xf numFmtId="165" fontId="33" fillId="0" borderId="0" xfId="74" applyNumberFormat="1" applyFont="1" applyProtection="1">
      <protection hidden="1"/>
    </xf>
    <xf numFmtId="4" fontId="8" fillId="0" borderId="0" xfId="0" applyNumberFormat="1" applyFont="1" applyAlignment="1">
      <alignment horizontal="right" vertical="top" wrapText="1"/>
    </xf>
    <xf numFmtId="165" fontId="1" fillId="0" borderId="0" xfId="14" applyNumberFormat="1" applyFont="1" applyProtection="1">
      <protection hidden="1"/>
    </xf>
    <xf numFmtId="165" fontId="5" fillId="0" borderId="1" xfId="0" applyNumberFormat="1" applyFont="1" applyBorder="1" applyAlignment="1">
      <alignment vertical="top"/>
    </xf>
    <xf numFmtId="164" fontId="20" fillId="7" borderId="1" xfId="192" applyNumberFormat="1" applyFont="1" applyFill="1" applyBorder="1" applyAlignment="1" applyProtection="1">
      <alignment vertical="top" wrapText="1"/>
      <protection hidden="1"/>
    </xf>
    <xf numFmtId="0" fontId="20" fillId="7" borderId="1" xfId="0" applyFont="1" applyFill="1" applyBorder="1" applyAlignment="1">
      <alignment vertical="top"/>
    </xf>
    <xf numFmtId="164" fontId="8" fillId="13" borderId="0" xfId="192" applyNumberFormat="1" applyFont="1" applyFill="1" applyAlignment="1" applyProtection="1">
      <alignment vertical="top" wrapText="1"/>
      <protection hidden="1"/>
    </xf>
    <xf numFmtId="4" fontId="8" fillId="13" borderId="0" xfId="0" applyNumberFormat="1" applyFont="1" applyFill="1" applyAlignment="1">
      <alignment horizontal="right" vertical="top" wrapText="1"/>
    </xf>
    <xf numFmtId="0" fontId="8" fillId="13" borderId="0" xfId="0" applyFont="1" applyFill="1" applyAlignment="1">
      <alignment horizontal="right" vertical="top"/>
    </xf>
    <xf numFmtId="164" fontId="15" fillId="13" borderId="0" xfId="192" applyNumberFormat="1" applyFont="1" applyFill="1" applyAlignment="1" applyProtection="1">
      <alignment vertical="top" wrapText="1"/>
      <protection hidden="1"/>
    </xf>
    <xf numFmtId="0" fontId="15" fillId="13" borderId="0" xfId="0" applyFont="1" applyFill="1" applyAlignment="1">
      <alignment horizontal="right" vertical="top"/>
    </xf>
    <xf numFmtId="164" fontId="8" fillId="13" borderId="1" xfId="192" applyNumberFormat="1" applyFont="1" applyFill="1" applyBorder="1" applyAlignment="1" applyProtection="1">
      <alignment horizontal="center" vertical="top" wrapText="1"/>
      <protection hidden="1"/>
    </xf>
    <xf numFmtId="4" fontId="8" fillId="13" borderId="1" xfId="0" applyNumberFormat="1" applyFont="1" applyFill="1" applyBorder="1" applyAlignment="1">
      <alignment horizontal="right" vertical="top" wrapText="1"/>
    </xf>
    <xf numFmtId="4" fontId="8" fillId="0" borderId="25" xfId="0" applyNumberFormat="1" applyFont="1" applyBorder="1" applyAlignment="1">
      <alignment horizontal="right" vertical="top" wrapText="1"/>
    </xf>
    <xf numFmtId="0" fontId="5" fillId="2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4" borderId="1" xfId="0" applyFont="1" applyFill="1" applyBorder="1" applyAlignment="1">
      <alignment vertical="top"/>
    </xf>
    <xf numFmtId="4" fontId="8" fillId="0" borderId="1" xfId="0" applyNumberFormat="1" applyFont="1" applyBorder="1" applyAlignment="1">
      <alignment horizontal="right" vertical="top" wrapText="1"/>
    </xf>
    <xf numFmtId="0" fontId="5" fillId="2" borderId="0" xfId="0" applyFont="1" applyFill="1" applyAlignment="1">
      <alignment vertical="top"/>
    </xf>
    <xf numFmtId="0" fontId="11" fillId="0" borderId="0" xfId="0" applyFont="1" applyAlignment="1">
      <alignment horizontal="right" vertical="top"/>
    </xf>
    <xf numFmtId="164" fontId="8" fillId="7" borderId="25" xfId="192" applyNumberFormat="1" applyFont="1" applyFill="1" applyBorder="1" applyAlignment="1" applyProtection="1">
      <alignment horizontal="center" vertical="top" wrapText="1"/>
      <protection hidden="1"/>
    </xf>
    <xf numFmtId="4" fontId="8" fillId="13" borderId="25" xfId="0" applyNumberFormat="1" applyFont="1" applyFill="1" applyBorder="1" applyAlignment="1">
      <alignment horizontal="center" vertical="top" wrapText="1"/>
    </xf>
    <xf numFmtId="4" fontId="8" fillId="13" borderId="25" xfId="0" applyNumberFormat="1" applyFont="1" applyFill="1" applyBorder="1" applyAlignment="1">
      <alignment horizontal="right" vertical="top" wrapText="1"/>
    </xf>
    <xf numFmtId="4" fontId="8" fillId="0" borderId="25" xfId="0" applyNumberFormat="1" applyFont="1" applyBorder="1" applyAlignment="1">
      <alignment horizontal="center" vertical="top" wrapText="1"/>
    </xf>
    <xf numFmtId="4" fontId="8" fillId="7" borderId="25" xfId="0" applyNumberFormat="1" applyFont="1" applyFill="1" applyBorder="1" applyAlignment="1">
      <alignment horizontal="right" vertical="top" wrapText="1"/>
    </xf>
    <xf numFmtId="0" fontId="5" fillId="7" borderId="1" xfId="0" applyFont="1" applyFill="1" applyBorder="1" applyAlignment="1">
      <alignment vertical="top"/>
    </xf>
    <xf numFmtId="4" fontId="9" fillId="13" borderId="25" xfId="0" applyNumberFormat="1" applyFont="1" applyFill="1" applyBorder="1" applyAlignment="1">
      <alignment horizontal="right" vertical="top" wrapText="1"/>
    </xf>
    <xf numFmtId="0" fontId="9" fillId="13" borderId="1" xfId="0" applyFont="1" applyFill="1" applyBorder="1" applyAlignment="1">
      <alignment vertical="top"/>
    </xf>
    <xf numFmtId="4" fontId="9" fillId="0" borderId="25" xfId="0" applyNumberFormat="1" applyFont="1" applyBorder="1" applyAlignment="1">
      <alignment horizontal="center" vertical="top" wrapText="1"/>
    </xf>
    <xf numFmtId="4" fontId="9" fillId="0" borderId="25" xfId="0" applyNumberFormat="1" applyFont="1" applyBorder="1" applyAlignment="1">
      <alignment horizontal="right" vertical="top" wrapText="1"/>
    </xf>
    <xf numFmtId="4" fontId="8" fillId="7" borderId="1" xfId="0" applyNumberFormat="1" applyFont="1" applyFill="1" applyBorder="1" applyAlignment="1">
      <alignment horizontal="right" vertical="top" wrapText="1"/>
    </xf>
    <xf numFmtId="0" fontId="8" fillId="13" borderId="1" xfId="0" applyFont="1" applyFill="1" applyBorder="1"/>
    <xf numFmtId="4" fontId="8" fillId="13" borderId="1" xfId="0" applyNumberFormat="1" applyFont="1" applyFill="1" applyBorder="1" applyAlignment="1">
      <alignment vertical="top" wrapText="1"/>
    </xf>
    <xf numFmtId="2" fontId="8" fillId="13" borderId="21" xfId="0" applyNumberFormat="1" applyFont="1" applyFill="1" applyBorder="1"/>
    <xf numFmtId="0" fontId="8" fillId="13" borderId="23" xfId="0" applyFont="1" applyFill="1" applyBorder="1"/>
    <xf numFmtId="165" fontId="8" fillId="0" borderId="1" xfId="192" applyNumberFormat="1" applyFont="1" applyBorder="1" applyProtection="1">
      <protection hidden="1"/>
    </xf>
    <xf numFmtId="4" fontId="8" fillId="0" borderId="25" xfId="0" applyNumberFormat="1" applyFont="1" applyBorder="1" applyAlignment="1">
      <alignment vertical="top" wrapText="1"/>
    </xf>
    <xf numFmtId="2" fontId="5" fillId="0" borderId="1" xfId="0" applyNumberFormat="1" applyFont="1" applyBorder="1"/>
    <xf numFmtId="0" fontId="5" fillId="3" borderId="23" xfId="0" applyFont="1" applyFill="1" applyBorder="1"/>
    <xf numFmtId="0" fontId="5" fillId="15" borderId="23" xfId="0" applyFont="1" applyFill="1" applyBorder="1"/>
    <xf numFmtId="4" fontId="8" fillId="13" borderId="1" xfId="0" applyNumberFormat="1" applyFont="1" applyFill="1" applyBorder="1"/>
    <xf numFmtId="4" fontId="8" fillId="0" borderId="1" xfId="0" applyNumberFormat="1" applyFont="1" applyBorder="1" applyAlignment="1">
      <alignment vertical="top" wrapText="1"/>
    </xf>
    <xf numFmtId="165" fontId="20" fillId="0" borderId="0" xfId="192" applyNumberFormat="1" applyFont="1" applyProtection="1">
      <protection hidden="1"/>
    </xf>
    <xf numFmtId="4" fontId="20" fillId="0" borderId="0" xfId="0" applyNumberFormat="1" applyFont="1" applyAlignment="1">
      <alignment wrapText="1"/>
    </xf>
    <xf numFmtId="0" fontId="8" fillId="13" borderId="0" xfId="0" applyFont="1" applyFill="1"/>
    <xf numFmtId="165" fontId="8" fillId="0" borderId="0" xfId="192" applyNumberFormat="1" applyFont="1" applyProtection="1">
      <protection hidden="1"/>
    </xf>
    <xf numFmtId="165" fontId="8" fillId="0" borderId="0" xfId="192" applyNumberFormat="1" applyFont="1" applyAlignment="1" applyProtection="1">
      <alignment horizontal="right"/>
      <protection hidden="1"/>
    </xf>
    <xf numFmtId="2" fontId="5" fillId="0" borderId="0" xfId="0" applyNumberFormat="1" applyFont="1"/>
    <xf numFmtId="4" fontId="8" fillId="0" borderId="0" xfId="0" applyNumberFormat="1" applyFont="1" applyAlignment="1">
      <alignment horizontal="right" wrapText="1"/>
    </xf>
    <xf numFmtId="168" fontId="5" fillId="0" borderId="0" xfId="193" applyNumberFormat="1" applyFont="1" applyAlignment="1">
      <alignment vertical="top"/>
    </xf>
    <xf numFmtId="43" fontId="5" fillId="0" borderId="0" xfId="193" applyNumberFormat="1" applyFont="1" applyAlignment="1">
      <alignment horizontal="right" vertical="top"/>
    </xf>
    <xf numFmtId="166" fontId="11" fillId="0" borderId="0" xfId="0" applyNumberFormat="1" applyFont="1" applyAlignment="1">
      <alignment vertical="top"/>
    </xf>
    <xf numFmtId="43" fontId="11" fillId="0" borderId="0" xfId="193" applyNumberFormat="1" applyFont="1" applyAlignment="1">
      <alignment horizontal="right" vertical="top"/>
    </xf>
    <xf numFmtId="43" fontId="5" fillId="0" borderId="0" xfId="193" applyNumberFormat="1" applyFont="1" applyAlignment="1">
      <alignment vertical="top"/>
    </xf>
    <xf numFmtId="43" fontId="11" fillId="0" borderId="0" xfId="193" applyNumberFormat="1" applyFont="1" applyAlignment="1">
      <alignment vertical="top"/>
    </xf>
    <xf numFmtId="164" fontId="20" fillId="0" borderId="3" xfId="192" applyNumberFormat="1" applyFont="1" applyBorder="1" applyAlignment="1" applyProtection="1">
      <alignment vertical="top" wrapText="1"/>
      <protection hidden="1"/>
    </xf>
    <xf numFmtId="164" fontId="20" fillId="0" borderId="20" xfId="192" applyNumberFormat="1" applyFont="1" applyBorder="1" applyAlignment="1" applyProtection="1">
      <alignment vertical="top" wrapText="1"/>
      <protection hidden="1"/>
    </xf>
    <xf numFmtId="2" fontId="20" fillId="0" borderId="21" xfId="0" applyNumberFormat="1" applyFont="1" applyBorder="1" applyAlignment="1">
      <alignment vertical="top"/>
    </xf>
    <xf numFmtId="164" fontId="20" fillId="0" borderId="23" xfId="192" applyNumberFormat="1" applyFont="1" applyBorder="1" applyAlignment="1" applyProtection="1">
      <alignment vertical="top" wrapText="1"/>
      <protection hidden="1"/>
    </xf>
    <xf numFmtId="164" fontId="8" fillId="0" borderId="23" xfId="192" applyNumberFormat="1" applyFont="1" applyBorder="1" applyAlignment="1" applyProtection="1">
      <alignment vertical="top" wrapText="1"/>
      <protection hidden="1"/>
    </xf>
    <xf numFmtId="2" fontId="20" fillId="0" borderId="21" xfId="0" applyNumberFormat="1" applyFont="1" applyBorder="1"/>
    <xf numFmtId="0" fontId="20" fillId="0" borderId="23" xfId="0" applyFont="1" applyBorder="1"/>
    <xf numFmtId="165" fontId="20" fillId="0" borderId="0" xfId="192" applyNumberFormat="1" applyFont="1" applyAlignment="1" applyProtection="1">
      <alignment vertical="top"/>
      <protection hidden="1"/>
    </xf>
    <xf numFmtId="2" fontId="20" fillId="0" borderId="0" xfId="0" applyNumberFormat="1" applyFont="1" applyAlignment="1">
      <alignment vertical="top"/>
    </xf>
    <xf numFmtId="0" fontId="20" fillId="0" borderId="0" xfId="0" applyFont="1" applyAlignment="1">
      <alignment horizontal="right" vertical="top"/>
    </xf>
    <xf numFmtId="0" fontId="32" fillId="0" borderId="0" xfId="0" applyFont="1" applyAlignment="1">
      <alignment horizontal="right" vertical="top"/>
    </xf>
    <xf numFmtId="165" fontId="8" fillId="0" borderId="0" xfId="192" applyNumberFormat="1" applyFont="1" applyAlignment="1" applyProtection="1">
      <alignment vertical="top"/>
      <protection hidden="1"/>
    </xf>
    <xf numFmtId="43" fontId="5" fillId="0" borderId="0" xfId="193" applyNumberFormat="1" applyFont="1" applyAlignment="1">
      <alignment horizontal="right" vertical="center"/>
    </xf>
    <xf numFmtId="167" fontId="5" fillId="0" borderId="0" xfId="193" applyNumberFormat="1" applyFont="1" applyAlignment="1">
      <alignment vertical="top"/>
    </xf>
    <xf numFmtId="43" fontId="11" fillId="0" borderId="0" xfId="193" applyNumberFormat="1" applyFont="1" applyAlignment="1">
      <alignment horizontal="right" vertical="center"/>
    </xf>
    <xf numFmtId="4" fontId="20" fillId="0" borderId="25" xfId="0" applyNumberFormat="1" applyFont="1" applyBorder="1" applyAlignment="1">
      <alignment horizontal="right" vertical="top" wrapText="1"/>
    </xf>
    <xf numFmtId="165" fontId="8" fillId="0" borderId="1" xfId="192" applyNumberFormat="1" applyFont="1" applyBorder="1" applyAlignment="1" applyProtection="1">
      <alignment vertical="top"/>
      <protection hidden="1"/>
    </xf>
    <xf numFmtId="0" fontId="5" fillId="5" borderId="1" xfId="0" applyFont="1" applyFill="1" applyBorder="1" applyAlignment="1">
      <alignment vertical="top"/>
    </xf>
    <xf numFmtId="165" fontId="8" fillId="0" borderId="1" xfId="33" applyNumberFormat="1" applyFont="1" applyBorder="1" applyAlignment="1" applyProtection="1">
      <alignment vertical="top"/>
      <protection hidden="1"/>
    </xf>
    <xf numFmtId="0" fontId="8" fillId="13" borderId="1" xfId="0" applyFont="1" applyFill="1" applyBorder="1" applyAlignment="1">
      <alignment horizontal="right" vertical="top" wrapText="1"/>
    </xf>
    <xf numFmtId="2" fontId="8" fillId="0" borderId="0" xfId="0" applyNumberFormat="1" applyFont="1" applyAlignment="1">
      <alignment vertical="top"/>
    </xf>
    <xf numFmtId="4" fontId="20" fillId="10" borderId="0" xfId="0" applyNumberFormat="1" applyFont="1" applyFill="1" applyAlignment="1">
      <alignment horizontal="right" vertical="top" wrapText="1"/>
    </xf>
    <xf numFmtId="0" fontId="8" fillId="0" borderId="0" xfId="0" applyFont="1" applyAlignment="1">
      <alignment horizontal="right" vertical="top"/>
    </xf>
    <xf numFmtId="0" fontId="15" fillId="0" borderId="0" xfId="0" applyFont="1" applyAlignment="1">
      <alignment horizontal="right" vertical="top"/>
    </xf>
    <xf numFmtId="43" fontId="12" fillId="0" borderId="0" xfId="193" applyNumberFormat="1" applyFont="1" applyAlignment="1">
      <alignment horizontal="right" vertical="center"/>
    </xf>
    <xf numFmtId="4" fontId="8" fillId="13" borderId="1" xfId="0" applyNumberFormat="1" applyFont="1" applyFill="1" applyBorder="1" applyAlignment="1">
      <alignment horizontal="right"/>
    </xf>
    <xf numFmtId="2" fontId="8" fillId="13" borderId="21" xfId="0" applyNumberFormat="1" applyFont="1" applyFill="1" applyBorder="1" applyAlignment="1">
      <alignment horizontal="right"/>
    </xf>
    <xf numFmtId="0" fontId="8" fillId="13" borderId="1" xfId="0" applyFont="1" applyFill="1" applyBorder="1" applyAlignment="1">
      <alignment horizontal="right"/>
    </xf>
    <xf numFmtId="165" fontId="8" fillId="0" borderId="1" xfId="192" applyNumberFormat="1" applyFont="1" applyBorder="1" applyAlignment="1" applyProtection="1">
      <alignment horizontal="right"/>
      <protection hidden="1"/>
    </xf>
    <xf numFmtId="169" fontId="8" fillId="10" borderId="1" xfId="193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169" fontId="8" fillId="10" borderId="0" xfId="193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165" fontId="20" fillId="0" borderId="0" xfId="192" applyNumberFormat="1" applyFont="1" applyAlignment="1" applyProtection="1">
      <alignment horizontal="right"/>
      <protection hidden="1"/>
    </xf>
    <xf numFmtId="169" fontId="20" fillId="10" borderId="0" xfId="193" applyNumberFormat="1" applyFont="1" applyFill="1" applyAlignment="1">
      <alignment horizontal="right"/>
    </xf>
    <xf numFmtId="2" fontId="8" fillId="13" borderId="0" xfId="0" applyNumberFormat="1" applyFont="1" applyFill="1" applyAlignment="1">
      <alignment horizontal="right"/>
    </xf>
    <xf numFmtId="0" fontId="8" fillId="13" borderId="0" xfId="0" applyFont="1" applyFill="1" applyAlignment="1">
      <alignment horizontal="right"/>
    </xf>
    <xf numFmtId="169" fontId="20" fillId="0" borderId="0" xfId="193" applyNumberFormat="1" applyFont="1" applyAlignment="1">
      <alignment horizontal="right"/>
    </xf>
    <xf numFmtId="165" fontId="11" fillId="0" borderId="0" xfId="0" applyNumberFormat="1" applyFont="1" applyAlignment="1">
      <alignment vertical="top"/>
    </xf>
    <xf numFmtId="2" fontId="8" fillId="13" borderId="21" xfId="0" applyNumberFormat="1" applyFont="1" applyFill="1" applyBorder="1" applyAlignment="1">
      <alignment vertical="top"/>
    </xf>
    <xf numFmtId="2" fontId="8" fillId="13" borderId="0" xfId="0" applyNumberFormat="1" applyFont="1" applyFill="1" applyAlignment="1">
      <alignment vertical="top"/>
    </xf>
    <xf numFmtId="0" fontId="8" fillId="13" borderId="0" xfId="0" applyFont="1" applyFill="1" applyAlignment="1">
      <alignment vertical="top"/>
    </xf>
    <xf numFmtId="164" fontId="8" fillId="13" borderId="3" xfId="192" applyNumberFormat="1" applyFont="1" applyFill="1" applyBorder="1" applyAlignment="1" applyProtection="1">
      <alignment horizontal="left" vertical="top" wrapText="1"/>
      <protection hidden="1"/>
    </xf>
    <xf numFmtId="4" fontId="8" fillId="13" borderId="25" xfId="0" applyNumberFormat="1" applyFont="1" applyFill="1" applyBorder="1" applyAlignment="1">
      <alignment horizontal="right" wrapText="1"/>
    </xf>
    <xf numFmtId="164" fontId="8" fillId="13" borderId="22" xfId="192" applyNumberFormat="1" applyFont="1" applyFill="1" applyBorder="1" applyAlignment="1" applyProtection="1">
      <alignment vertical="top" wrapText="1"/>
      <protection hidden="1"/>
    </xf>
    <xf numFmtId="169" fontId="8" fillId="0" borderId="0" xfId="193" applyNumberFormat="1" applyFont="1"/>
    <xf numFmtId="0" fontId="5" fillId="13" borderId="0" xfId="0" applyFont="1" applyFill="1" applyAlignment="1">
      <alignment horizontal="right" vertical="top"/>
    </xf>
    <xf numFmtId="0" fontId="11" fillId="13" borderId="0" xfId="0" applyFont="1" applyFill="1" applyAlignment="1">
      <alignment horizontal="right" vertical="top"/>
    </xf>
    <xf numFmtId="0" fontId="34" fillId="13" borderId="1" xfId="0" applyFont="1" applyFill="1" applyBorder="1" applyAlignment="1">
      <alignment horizontal="left" vertical="top" wrapText="1"/>
    </xf>
    <xf numFmtId="166" fontId="8" fillId="13" borderId="25" xfId="192" applyNumberFormat="1" applyFont="1" applyFill="1" applyBorder="1" applyAlignment="1" applyProtection="1">
      <alignment horizontal="right" vertical="top" wrapText="1"/>
      <protection hidden="1"/>
    </xf>
    <xf numFmtId="164" fontId="8" fillId="13" borderId="2" xfId="192" applyNumberFormat="1" applyFont="1" applyFill="1" applyBorder="1" applyAlignment="1" applyProtection="1">
      <alignment horizontal="right" wrapText="1"/>
      <protection hidden="1"/>
    </xf>
    <xf numFmtId="0" fontId="34" fillId="13" borderId="1" xfId="0" applyFont="1" applyFill="1" applyBorder="1" applyAlignment="1">
      <alignment vertical="top" wrapText="1"/>
    </xf>
    <xf numFmtId="166" fontId="8" fillId="13" borderId="26" xfId="192" applyNumberFormat="1" applyFont="1" applyFill="1" applyBorder="1" applyAlignment="1" applyProtection="1">
      <alignment horizontal="right" vertical="top" wrapText="1"/>
      <protection hidden="1"/>
    </xf>
    <xf numFmtId="0" fontId="34" fillId="13" borderId="24" xfId="0" applyFont="1" applyFill="1" applyBorder="1" applyAlignment="1">
      <alignment horizontal="right" vertical="top"/>
    </xf>
    <xf numFmtId="0" fontId="35" fillId="13" borderId="0" xfId="0" applyFont="1" applyFill="1" applyAlignment="1">
      <alignment horizontal="right" vertical="top"/>
    </xf>
    <xf numFmtId="169" fontId="11" fillId="0" borderId="0" xfId="0" applyNumberFormat="1" applyFont="1" applyAlignment="1">
      <alignment vertical="top"/>
    </xf>
    <xf numFmtId="0" fontId="8" fillId="13" borderId="1" xfId="192" applyFont="1" applyFill="1" applyBorder="1" applyAlignment="1" applyProtection="1">
      <alignment horizontal="center" vertical="top" wrapText="1"/>
      <protection hidden="1"/>
    </xf>
    <xf numFmtId="0" fontId="5" fillId="13" borderId="1" xfId="0" applyFont="1" applyFill="1" applyBorder="1" applyAlignment="1">
      <alignment horizontal="center" vertical="top"/>
    </xf>
    <xf numFmtId="0" fontId="8" fillId="13" borderId="1" xfId="0" applyFont="1" applyFill="1" applyBorder="1" applyAlignment="1">
      <alignment horizontal="center" vertical="top"/>
    </xf>
    <xf numFmtId="0" fontId="5" fillId="13" borderId="1" xfId="0" applyFont="1" applyFill="1" applyBorder="1" applyAlignment="1">
      <alignment vertical="top" wrapText="1"/>
    </xf>
    <xf numFmtId="0" fontId="8" fillId="13" borderId="1" xfId="0" applyFont="1" applyFill="1" applyBorder="1" applyAlignment="1">
      <alignment horizontal="center" wrapText="1"/>
    </xf>
    <xf numFmtId="164" fontId="8" fillId="13" borderId="21" xfId="192" applyNumberFormat="1" applyFont="1" applyFill="1" applyBorder="1" applyAlignment="1" applyProtection="1">
      <alignment horizontal="center" wrapText="1"/>
      <protection hidden="1"/>
    </xf>
    <xf numFmtId="0" fontId="8" fillId="13" borderId="1" xfId="0" applyFont="1" applyFill="1" applyBorder="1" applyAlignment="1">
      <alignment horizontal="center"/>
    </xf>
    <xf numFmtId="0" fontId="8" fillId="13" borderId="21" xfId="0" applyFont="1" applyFill="1" applyBorder="1" applyAlignment="1">
      <alignment horizontal="center"/>
    </xf>
    <xf numFmtId="0" fontId="8" fillId="13" borderId="1" xfId="0" applyFont="1" applyFill="1" applyBorder="1" applyAlignment="1">
      <alignment vertical="top" wrapText="1"/>
    </xf>
    <xf numFmtId="0" fontId="8" fillId="13" borderId="23" xfId="0" applyFont="1" applyFill="1" applyBorder="1" applyAlignment="1">
      <alignment vertical="top"/>
    </xf>
    <xf numFmtId="0" fontId="8" fillId="13" borderId="1" xfId="0" applyFont="1" applyFill="1" applyBorder="1" applyAlignment="1">
      <alignment horizontal="center" vertical="center"/>
    </xf>
    <xf numFmtId="0" fontId="8" fillId="13" borderId="21" xfId="0" applyFont="1" applyFill="1" applyBorder="1" applyAlignment="1">
      <alignment vertical="top"/>
    </xf>
    <xf numFmtId="170" fontId="8" fillId="13" borderId="21" xfId="192" applyNumberFormat="1" applyFont="1" applyFill="1" applyBorder="1" applyAlignment="1" applyProtection="1">
      <alignment horizontal="right" vertical="top" wrapText="1"/>
      <protection hidden="1"/>
    </xf>
    <xf numFmtId="0" fontId="8" fillId="13" borderId="21" xfId="0" applyFont="1" applyFill="1" applyBorder="1" applyAlignment="1">
      <alignment horizontal="right"/>
    </xf>
    <xf numFmtId="169" fontId="9" fillId="0" borderId="0" xfId="193" applyNumberFormat="1" applyFont="1"/>
    <xf numFmtId="0" fontId="9" fillId="0" borderId="0" xfId="0" applyFont="1" applyAlignment="1">
      <alignment horizontal="right"/>
    </xf>
    <xf numFmtId="3" fontId="8" fillId="0" borderId="1" xfId="193" applyNumberFormat="1" applyFont="1" applyBorder="1"/>
    <xf numFmtId="3" fontId="8" fillId="7" borderId="1" xfId="193" applyNumberFormat="1" applyFont="1" applyFill="1" applyBorder="1"/>
    <xf numFmtId="0" fontId="5" fillId="7" borderId="1" xfId="0" applyFont="1" applyFill="1" applyBorder="1" applyAlignment="1">
      <alignment horizontal="right"/>
    </xf>
    <xf numFmtId="169" fontId="8" fillId="13" borderId="0" xfId="193" applyNumberFormat="1" applyFont="1" applyFill="1"/>
    <xf numFmtId="0" fontId="5" fillId="13" borderId="0" xfId="0" applyFont="1" applyFill="1" applyAlignment="1">
      <alignment horizontal="right"/>
    </xf>
    <xf numFmtId="4" fontId="8" fillId="0" borderId="2" xfId="192" applyNumberFormat="1" applyFont="1" applyBorder="1" applyAlignment="1" applyProtection="1">
      <alignment horizontal="center" vertical="top" wrapText="1"/>
      <protection hidden="1"/>
    </xf>
    <xf numFmtId="164" fontId="8" fillId="0" borderId="20" xfId="192" applyNumberFormat="1" applyFont="1" applyBorder="1" applyAlignment="1" applyProtection="1">
      <alignment vertical="top" wrapText="1"/>
      <protection hidden="1"/>
    </xf>
    <xf numFmtId="4" fontId="34" fillId="13" borderId="1" xfId="0" applyNumberFormat="1" applyFont="1" applyFill="1" applyBorder="1" applyAlignment="1">
      <alignment vertical="top"/>
    </xf>
    <xf numFmtId="4" fontId="5" fillId="0" borderId="1" xfId="0" applyNumberFormat="1" applyFont="1" applyBorder="1" applyAlignment="1">
      <alignment vertical="top"/>
    </xf>
    <xf numFmtId="0" fontId="34" fillId="16" borderId="1" xfId="0" applyFont="1" applyFill="1" applyBorder="1" applyAlignment="1">
      <alignment vertical="top"/>
    </xf>
    <xf numFmtId="4" fontId="5" fillId="7" borderId="1" xfId="0" applyNumberFormat="1" applyFont="1" applyFill="1" applyBorder="1" applyAlignment="1">
      <alignment vertical="top"/>
    </xf>
    <xf numFmtId="0" fontId="34" fillId="13" borderId="0" xfId="0" applyFont="1" applyFill="1" applyAlignment="1">
      <alignment horizontal="right" vertical="top"/>
    </xf>
    <xf numFmtId="0" fontId="5" fillId="7" borderId="2" xfId="0" applyFont="1" applyFill="1" applyBorder="1" applyAlignment="1">
      <alignment vertical="top"/>
    </xf>
    <xf numFmtId="0" fontId="20" fillId="7" borderId="4" xfId="0" applyFont="1" applyFill="1" applyBorder="1" applyAlignment="1">
      <alignment vertical="top"/>
    </xf>
    <xf numFmtId="0" fontId="5" fillId="7" borderId="3" xfId="0" applyFont="1" applyFill="1" applyBorder="1" applyAlignment="1">
      <alignment vertical="top"/>
    </xf>
    <xf numFmtId="0" fontId="36" fillId="10" borderId="1" xfId="0" applyFont="1" applyFill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34" fillId="13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7" borderId="1" xfId="0" applyFont="1" applyFill="1" applyBorder="1" applyAlignment="1">
      <alignment horizontal="center" vertical="top"/>
    </xf>
    <xf numFmtId="0" fontId="36" fillId="0" borderId="1" xfId="0" applyFont="1" applyBorder="1" applyAlignment="1">
      <alignment horizontal="center" vertical="top"/>
    </xf>
    <xf numFmtId="0" fontId="9" fillId="7" borderId="1" xfId="0" applyFont="1" applyFill="1" applyBorder="1" applyAlignment="1">
      <alignment vertical="top"/>
    </xf>
    <xf numFmtId="4" fontId="5" fillId="0" borderId="0" xfId="0" applyNumberFormat="1" applyFont="1" applyAlignment="1">
      <alignment vertical="top" wrapText="1"/>
    </xf>
    <xf numFmtId="4" fontId="8" fillId="0" borderId="1" xfId="192" applyNumberFormat="1" applyFont="1" applyBorder="1" applyAlignment="1" applyProtection="1">
      <alignment horizontal="center" vertical="top" wrapText="1"/>
      <protection hidden="1"/>
    </xf>
    <xf numFmtId="4" fontId="5" fillId="7" borderId="2" xfId="0" applyNumberFormat="1" applyFont="1" applyFill="1" applyBorder="1" applyAlignment="1">
      <alignment vertical="top"/>
    </xf>
    <xf numFmtId="4" fontId="5" fillId="10" borderId="1" xfId="0" applyNumberFormat="1" applyFont="1" applyFill="1" applyBorder="1" applyAlignment="1">
      <alignment vertical="top"/>
    </xf>
    <xf numFmtId="164" fontId="8" fillId="0" borderId="2" xfId="192" applyNumberFormat="1" applyFont="1" applyBorder="1" applyAlignment="1" applyProtection="1">
      <alignment vertical="top" wrapText="1"/>
      <protection hidden="1"/>
    </xf>
    <xf numFmtId="4" fontId="5" fillId="7" borderId="4" xfId="0" applyNumberFormat="1" applyFont="1" applyFill="1" applyBorder="1" applyAlignment="1">
      <alignment vertical="top"/>
    </xf>
    <xf numFmtId="0" fontId="5" fillId="7" borderId="4" xfId="0" applyFont="1" applyFill="1" applyBorder="1" applyAlignment="1">
      <alignment vertical="top"/>
    </xf>
    <xf numFmtId="4" fontId="5" fillId="7" borderId="3" xfId="0" applyNumberFormat="1" applyFont="1" applyFill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34" fillId="13" borderId="27" xfId="0" applyNumberFormat="1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9" fillId="0" borderId="2" xfId="192" applyNumberFormat="1" applyFont="1" applyBorder="1" applyAlignment="1" applyProtection="1">
      <alignment horizontal="center" vertical="top" wrapText="1"/>
      <protection hidden="1"/>
    </xf>
    <xf numFmtId="164" fontId="9" fillId="0" borderId="3" xfId="192" applyNumberFormat="1" applyFont="1" applyBorder="1" applyAlignment="1" applyProtection="1">
      <alignment horizontal="center" vertical="top" wrapText="1"/>
      <protection hidden="1"/>
    </xf>
    <xf numFmtId="4" fontId="9" fillId="0" borderId="1" xfId="192" applyNumberFormat="1" applyFont="1" applyBorder="1" applyAlignment="1" applyProtection="1">
      <alignment horizontal="center" vertical="top" wrapText="1"/>
      <protection hidden="1"/>
    </xf>
    <xf numFmtId="0" fontId="16" fillId="0" borderId="1" xfId="168" applyFont="1" applyBorder="1" applyAlignment="1">
      <alignment horizontal="center" vertical="top" wrapText="1"/>
    </xf>
    <xf numFmtId="49" fontId="16" fillId="0" borderId="2" xfId="168" applyNumberFormat="1" applyFont="1" applyBorder="1" applyAlignment="1">
      <alignment horizontal="center" vertical="top" wrapText="1"/>
    </xf>
    <xf numFmtId="49" fontId="16" fillId="0" borderId="4" xfId="168" applyNumberFormat="1" applyFont="1" applyBorder="1" applyAlignment="1">
      <alignment horizontal="center" vertical="top" wrapText="1"/>
    </xf>
    <xf numFmtId="49" fontId="16" fillId="0" borderId="3" xfId="168" applyNumberFormat="1" applyFont="1" applyBorder="1" applyAlignment="1">
      <alignment horizontal="center" vertical="top" wrapText="1"/>
    </xf>
    <xf numFmtId="0" fontId="16" fillId="0" borderId="2" xfId="168" applyFont="1" applyBorder="1" applyAlignment="1">
      <alignment horizontal="center" vertical="top" wrapText="1"/>
    </xf>
    <xf numFmtId="0" fontId="16" fillId="0" borderId="4" xfId="168" applyFont="1" applyBorder="1" applyAlignment="1">
      <alignment horizontal="center" vertical="top" wrapText="1"/>
    </xf>
    <xf numFmtId="0" fontId="16" fillId="0" borderId="3" xfId="168" applyFont="1" applyBorder="1" applyAlignment="1">
      <alignment horizontal="center" vertical="top" wrapText="1"/>
    </xf>
    <xf numFmtId="0" fontId="16" fillId="0" borderId="0" xfId="168" applyFont="1" applyAlignment="1">
      <alignment horizontal="center" vertical="top"/>
    </xf>
    <xf numFmtId="0" fontId="17" fillId="0" borderId="0" xfId="168" applyFont="1" applyAlignment="1">
      <alignment horizontal="center" vertical="top"/>
    </xf>
    <xf numFmtId="164" fontId="8" fillId="0" borderId="1" xfId="192" applyNumberFormat="1" applyFont="1" applyBorder="1" applyAlignment="1" applyProtection="1">
      <alignment horizontal="center" vertical="top" wrapText="1"/>
      <protection hidden="1"/>
    </xf>
    <xf numFmtId="49" fontId="16" fillId="0" borderId="1" xfId="168" applyNumberFormat="1" applyFont="1" applyBorder="1" applyAlignment="1">
      <alignment horizontal="center" vertical="top" wrapText="1"/>
    </xf>
    <xf numFmtId="49" fontId="16" fillId="0" borderId="1" xfId="168" applyNumberFormat="1" applyFont="1" applyBorder="1" applyAlignment="1">
      <alignment horizontal="center" vertical="top"/>
    </xf>
    <xf numFmtId="164" fontId="16" fillId="0" borderId="1" xfId="192" applyNumberFormat="1" applyFont="1" applyBorder="1" applyAlignment="1" applyProtection="1">
      <alignment horizontal="center" vertical="top" wrapText="1"/>
      <protection hidden="1"/>
    </xf>
    <xf numFmtId="0" fontId="21" fillId="0" borderId="0" xfId="168" applyFont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4" fillId="0" borderId="9" xfId="0" applyFont="1" applyBorder="1" applyAlignment="1">
      <alignment horizontal="center" vertical="top" wrapText="1"/>
    </xf>
    <xf numFmtId="0" fontId="24" fillId="0" borderId="10" xfId="0" applyFont="1" applyBorder="1" applyAlignment="1">
      <alignment horizontal="center" vertical="top" wrapText="1"/>
    </xf>
    <xf numFmtId="0" fontId="24" fillId="0" borderId="11" xfId="0" applyFont="1" applyBorder="1" applyAlignment="1">
      <alignment horizontal="center" vertical="top" wrapText="1"/>
    </xf>
    <xf numFmtId="0" fontId="24" fillId="0" borderId="6" xfId="0" applyFont="1" applyBorder="1" applyAlignment="1">
      <alignment horizontal="center" vertical="top" wrapText="1"/>
    </xf>
    <xf numFmtId="0" fontId="24" fillId="0" borderId="7" xfId="0" applyFont="1" applyBorder="1" applyAlignment="1">
      <alignment horizontal="center" vertical="top" wrapText="1"/>
    </xf>
    <xf numFmtId="0" fontId="24" fillId="0" borderId="8" xfId="0" applyFont="1" applyBorder="1" applyAlignment="1">
      <alignment horizontal="center" vertical="top" wrapText="1"/>
    </xf>
    <xf numFmtId="0" fontId="27" fillId="0" borderId="0" xfId="0" applyFont="1" applyAlignment="1">
      <alignment horizontal="center" vertical="top" wrapText="1"/>
    </xf>
    <xf numFmtId="0" fontId="28" fillId="0" borderId="0" xfId="0" applyFont="1" applyAlignment="1">
      <alignment horizontal="center" vertical="top" wrapText="1"/>
    </xf>
  </cellXfs>
  <cellStyles count="195">
    <cellStyle name="Обычный" xfId="0" builtinId="0"/>
    <cellStyle name="Обычный 2" xfId="1"/>
    <cellStyle name="Обычный 2 10" xfId="2"/>
    <cellStyle name="Обычный 2 10 2" xfId="3"/>
    <cellStyle name="Обычный 2 10 3" xfId="4"/>
    <cellStyle name="Обычный 2 11" xfId="5"/>
    <cellStyle name="Обычный 2 11 2" xfId="6"/>
    <cellStyle name="Обычный 2 11 3" xfId="7"/>
    <cellStyle name="Обычный 2 12" xfId="8"/>
    <cellStyle name="Обычный 2 12 2" xfId="9"/>
    <cellStyle name="Обычный 2 12 3" xfId="10"/>
    <cellStyle name="Обычный 2 13" xfId="11"/>
    <cellStyle name="Обычный 2 13 2" xfId="12"/>
    <cellStyle name="Обычный 2 13 3" xfId="13"/>
    <cellStyle name="Обычный 2 137" xfId="14"/>
    <cellStyle name="Обычный 2 137 2" xfId="15"/>
    <cellStyle name="Обычный 2 137 2 2" xfId="16"/>
    <cellStyle name="Обычный 2 137 2 3" xfId="17"/>
    <cellStyle name="Обычный 2 137 2 4" xfId="18"/>
    <cellStyle name="Обычный 2 137 2 5" xfId="19"/>
    <cellStyle name="Обычный 2 137 3" xfId="20"/>
    <cellStyle name="Обычный 2 137 4" xfId="21"/>
    <cellStyle name="Обычный 2 14" xfId="22"/>
    <cellStyle name="Обычный 2 14 2" xfId="23"/>
    <cellStyle name="Обычный 2 14 3" xfId="24"/>
    <cellStyle name="Обычный 2 15" xfId="25"/>
    <cellStyle name="Обычный 2 15 2" xfId="26"/>
    <cellStyle name="Обычный 2 15 3" xfId="27"/>
    <cellStyle name="Обычный 2 16" xfId="28"/>
    <cellStyle name="Обычный 2 16 2" xfId="29"/>
    <cellStyle name="Обычный 2 16 3" xfId="30"/>
    <cellStyle name="Обычный 2 17" xfId="31"/>
    <cellStyle name="Обычный 2 18" xfId="32"/>
    <cellStyle name="Обычный 2 188" xfId="33"/>
    <cellStyle name="Обычный 2 188 2" xfId="34"/>
    <cellStyle name="Обычный 2 188 2 2" xfId="35"/>
    <cellStyle name="Обычный 2 188 2 3" xfId="36"/>
    <cellStyle name="Обычный 2 188 2 4" xfId="37"/>
    <cellStyle name="Обычный 2 188 2 5" xfId="38"/>
    <cellStyle name="Обычный 2 188 3" xfId="39"/>
    <cellStyle name="Обычный 2 188 4" xfId="40"/>
    <cellStyle name="Обычный 2 19" xfId="41"/>
    <cellStyle name="Обычный 2 2" xfId="42"/>
    <cellStyle name="Обычный 2 2 2" xfId="43"/>
    <cellStyle name="Обычный 2 2 2 2" xfId="44"/>
    <cellStyle name="Обычный 2 2 2 3" xfId="45"/>
    <cellStyle name="Обычный 2 2 2 4" xfId="46"/>
    <cellStyle name="Обычный 2 2 2 5" xfId="47"/>
    <cellStyle name="Обычный 2 2 3" xfId="48"/>
    <cellStyle name="Обычный 2 2 4" xfId="49"/>
    <cellStyle name="Обычный 2 20" xfId="50"/>
    <cellStyle name="Обычный 2 21" xfId="51"/>
    <cellStyle name="Обычный 2 22" xfId="52"/>
    <cellStyle name="Обычный 2 255" xfId="53"/>
    <cellStyle name="Обычный 2 255 2" xfId="54"/>
    <cellStyle name="Обычный 2 255 2 2" xfId="55"/>
    <cellStyle name="Обычный 2 255 2 3" xfId="56"/>
    <cellStyle name="Обычный 2 255 2 4" xfId="57"/>
    <cellStyle name="Обычный 2 255 2 5" xfId="58"/>
    <cellStyle name="Обычный 2 255 3" xfId="59"/>
    <cellStyle name="Обычный 2 255 4" xfId="60"/>
    <cellStyle name="Обычный 2 255 5" xfId="61"/>
    <cellStyle name="Обычный 2 255 6" xfId="62"/>
    <cellStyle name="Обычный 2 255 7" xfId="63"/>
    <cellStyle name="Обычный 2 255 8" xfId="64"/>
    <cellStyle name="Обычный 2 255 9" xfId="65"/>
    <cellStyle name="Обычный 2 3" xfId="66"/>
    <cellStyle name="Обычный 2 3 2" xfId="67"/>
    <cellStyle name="Обычный 2 3 2 2" xfId="68"/>
    <cellStyle name="Обычный 2 3 2 3" xfId="69"/>
    <cellStyle name="Обычный 2 3 2 4" xfId="70"/>
    <cellStyle name="Обычный 2 3 2 5" xfId="71"/>
    <cellStyle name="Обычный 2 3 3" xfId="72"/>
    <cellStyle name="Обычный 2 3 4" xfId="73"/>
    <cellStyle name="Обычный 2 4" xfId="74"/>
    <cellStyle name="Обычный 2 4 10" xfId="75"/>
    <cellStyle name="Обычный 2 4 10 2" xfId="76"/>
    <cellStyle name="Обычный 2 4 10 3" xfId="77"/>
    <cellStyle name="Обычный 2 4 11" xfId="78"/>
    <cellStyle name="Обычный 2 4 11 2" xfId="79"/>
    <cellStyle name="Обычный 2 4 11 3" xfId="80"/>
    <cellStyle name="Обычный 2 4 12" xfId="81"/>
    <cellStyle name="Обычный 2 4 12 2" xfId="82"/>
    <cellStyle name="Обычный 2 4 12 3" xfId="83"/>
    <cellStyle name="Обычный 2 4 13" xfId="84"/>
    <cellStyle name="Обычный 2 4 13 2" xfId="85"/>
    <cellStyle name="Обычный 2 4 13 3" xfId="86"/>
    <cellStyle name="Обычный 2 4 14" xfId="87"/>
    <cellStyle name="Обычный 2 4 15" xfId="88"/>
    <cellStyle name="Обычный 2 4 16" xfId="89"/>
    <cellStyle name="Обычный 2 4 17" xfId="90"/>
    <cellStyle name="Обычный 2 4 18" xfId="91"/>
    <cellStyle name="Обычный 2 4 19" xfId="92"/>
    <cellStyle name="Обычный 2 4 2" xfId="93"/>
    <cellStyle name="Обычный 2 4 2 2" xfId="94"/>
    <cellStyle name="Обычный 2 4 2 2 2" xfId="95"/>
    <cellStyle name="Обычный 2 4 2 2 3" xfId="96"/>
    <cellStyle name="Обычный 2 4 2 2 4" xfId="97"/>
    <cellStyle name="Обычный 2 4 2 2 5" xfId="98"/>
    <cellStyle name="Обычный 2 4 2 3" xfId="99"/>
    <cellStyle name="Обычный 2 4 2 4" xfId="100"/>
    <cellStyle name="Обычный 2 4 3" xfId="101"/>
    <cellStyle name="Обычный 2 4 3 2" xfId="102"/>
    <cellStyle name="Обычный 2 4 3 3" xfId="103"/>
    <cellStyle name="Обычный 2 4 3 4" xfId="104"/>
    <cellStyle name="Обычный 2 4 3 5" xfId="105"/>
    <cellStyle name="Обычный 2 4 4" xfId="106"/>
    <cellStyle name="Обычный 2 4 5" xfId="107"/>
    <cellStyle name="Обычный 2 4 5 2" xfId="108"/>
    <cellStyle name="Обычный 2 4 5 3" xfId="109"/>
    <cellStyle name="Обычный 2 4 6" xfId="110"/>
    <cellStyle name="Обычный 2 4 6 2" xfId="111"/>
    <cellStyle name="Обычный 2 4 6 3" xfId="112"/>
    <cellStyle name="Обычный 2 4 7" xfId="113"/>
    <cellStyle name="Обычный 2 4 7 2" xfId="114"/>
    <cellStyle name="Обычный 2 4 7 3" xfId="115"/>
    <cellStyle name="Обычный 2 4 8" xfId="116"/>
    <cellStyle name="Обычный 2 4 8 2" xfId="117"/>
    <cellStyle name="Обычный 2 4 8 3" xfId="118"/>
    <cellStyle name="Обычный 2 4 9" xfId="119"/>
    <cellStyle name="Обычный 2 4 9 2" xfId="120"/>
    <cellStyle name="Обычный 2 4 9 3" xfId="121"/>
    <cellStyle name="Обычный 2 5" xfId="122"/>
    <cellStyle name="Обычный 2 5 10" xfId="123"/>
    <cellStyle name="Обычный 2 5 10 2" xfId="124"/>
    <cellStyle name="Обычный 2 5 10 3" xfId="125"/>
    <cellStyle name="Обычный 2 5 11" xfId="126"/>
    <cellStyle name="Обычный 2 5 12" xfId="127"/>
    <cellStyle name="Обычный 2 5 13" xfId="128"/>
    <cellStyle name="Обычный 2 5 14" xfId="129"/>
    <cellStyle name="Обычный 2 5 15" xfId="130"/>
    <cellStyle name="Обычный 2 5 16" xfId="131"/>
    <cellStyle name="Обычный 2 5 2" xfId="132"/>
    <cellStyle name="Обычный 2 5 2 2" xfId="133"/>
    <cellStyle name="Обычный 2 5 2 3" xfId="134"/>
    <cellStyle name="Обычный 2 5 3" xfId="135"/>
    <cellStyle name="Обычный 2 5 3 2" xfId="136"/>
    <cellStyle name="Обычный 2 5 3 3" xfId="137"/>
    <cellStyle name="Обычный 2 5 4" xfId="138"/>
    <cellStyle name="Обычный 2 5 4 2" xfId="139"/>
    <cellStyle name="Обычный 2 5 4 3" xfId="140"/>
    <cellStyle name="Обычный 2 5 5" xfId="141"/>
    <cellStyle name="Обычный 2 5 5 2" xfId="142"/>
    <cellStyle name="Обычный 2 5 5 3" xfId="143"/>
    <cellStyle name="Обычный 2 5 6" xfId="144"/>
    <cellStyle name="Обычный 2 5 6 2" xfId="145"/>
    <cellStyle name="Обычный 2 5 6 3" xfId="146"/>
    <cellStyle name="Обычный 2 5 7" xfId="147"/>
    <cellStyle name="Обычный 2 5 7 2" xfId="148"/>
    <cellStyle name="Обычный 2 5 7 3" xfId="149"/>
    <cellStyle name="Обычный 2 5 8" xfId="150"/>
    <cellStyle name="Обычный 2 5 8 2" xfId="151"/>
    <cellStyle name="Обычный 2 5 8 3" xfId="152"/>
    <cellStyle name="Обычный 2 5 9" xfId="153"/>
    <cellStyle name="Обычный 2 5 9 2" xfId="154"/>
    <cellStyle name="Обычный 2 5 9 3" xfId="155"/>
    <cellStyle name="Обычный 2 6" xfId="156"/>
    <cellStyle name="Обычный 2 6 2" xfId="157"/>
    <cellStyle name="Обычный 2 6 3" xfId="158"/>
    <cellStyle name="Обычный 2 6 4" xfId="159"/>
    <cellStyle name="Обычный 2 6 5" xfId="160"/>
    <cellStyle name="Обычный 2 7" xfId="161"/>
    <cellStyle name="Обычный 2 8" xfId="162"/>
    <cellStyle name="Обычный 2 8 2" xfId="163"/>
    <cellStyle name="Обычный 2 8 3" xfId="164"/>
    <cellStyle name="Обычный 2 9" xfId="165"/>
    <cellStyle name="Обычный 2 9 2" xfId="166"/>
    <cellStyle name="Обычный 2 9 3" xfId="167"/>
    <cellStyle name="Обычный 3" xfId="168"/>
    <cellStyle name="Обычный 3 2" xfId="169"/>
    <cellStyle name="Обычный 3 2 2" xfId="170"/>
    <cellStyle name="Обычный 3 2 3" xfId="171"/>
    <cellStyle name="Обычный 3 2 4" xfId="172"/>
    <cellStyle name="Обычный 3 2 5" xfId="173"/>
    <cellStyle name="Обычный 3 3" xfId="174"/>
    <cellStyle name="Обычный 3 4" xfId="175"/>
    <cellStyle name="Обычный 3 5" xfId="176"/>
    <cellStyle name="Обычный 3 6" xfId="177"/>
    <cellStyle name="Обычный 3 7" xfId="178"/>
    <cellStyle name="Обычный 3 8" xfId="179"/>
    <cellStyle name="Обычный 3 9" xfId="180"/>
    <cellStyle name="Обычный 4" xfId="181"/>
    <cellStyle name="Обычный 4 2" xfId="182"/>
    <cellStyle name="Обычный 4 3" xfId="183"/>
    <cellStyle name="Обычный 4 4" xfId="184"/>
    <cellStyle name="Обычный 4 5" xfId="185"/>
    <cellStyle name="Обычный 5 2" xfId="186"/>
    <cellStyle name="Обычный 5 3" xfId="187"/>
    <cellStyle name="Обычный 5 4" xfId="188"/>
    <cellStyle name="Обычный 5 5" xfId="189"/>
    <cellStyle name="Обычный 6" xfId="190"/>
    <cellStyle name="Обычный 7" xfId="191"/>
    <cellStyle name="Обычный_tmp" xfId="192"/>
    <cellStyle name="Финансовый" xfId="193" builtinId="3"/>
    <cellStyle name="Финансовый 3" xfId="194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tabColor indexed="2"/>
  </sheetPr>
  <dimension ref="A1:J29"/>
  <sheetViews>
    <sheetView zoomScale="82" workbookViewId="0">
      <selection activeCell="D22" sqref="D22"/>
    </sheetView>
  </sheetViews>
  <sheetFormatPr defaultColWidth="9.140625" defaultRowHeight="15"/>
  <cols>
    <col min="1" max="1" width="9.140625" style="1"/>
    <col min="2" max="2" width="7.140625" style="2" customWidth="1"/>
    <col min="3" max="3" width="50.85546875" style="3" customWidth="1"/>
    <col min="4" max="9" width="15" style="4" customWidth="1"/>
    <col min="10" max="16384" width="9.140625" style="1"/>
  </cols>
  <sheetData>
    <row r="1" spans="1:10" ht="19.5">
      <c r="B1" s="421" t="s">
        <v>0</v>
      </c>
      <c r="C1" s="421"/>
      <c r="D1" s="421"/>
      <c r="E1" s="421"/>
      <c r="F1" s="421"/>
      <c r="G1" s="421"/>
      <c r="H1" s="421"/>
      <c r="I1" s="421"/>
    </row>
    <row r="2" spans="1:10" ht="18.75">
      <c r="B2" s="422"/>
      <c r="C2" s="422"/>
      <c r="D2" s="422"/>
      <c r="E2" s="5"/>
      <c r="F2" s="5"/>
      <c r="G2" s="5"/>
      <c r="H2" s="5"/>
      <c r="I2" s="5"/>
    </row>
    <row r="4" spans="1:10" ht="36" customHeight="1">
      <c r="A4" s="6"/>
      <c r="B4" s="423" t="s">
        <v>1</v>
      </c>
      <c r="C4" s="423" t="s">
        <v>2</v>
      </c>
      <c r="D4" s="425" t="s">
        <v>3</v>
      </c>
      <c r="E4" s="425"/>
      <c r="F4" s="425" t="s">
        <v>4</v>
      </c>
      <c r="G4" s="425" t="s">
        <v>5</v>
      </c>
      <c r="H4" s="425"/>
      <c r="I4" s="425" t="s">
        <v>6</v>
      </c>
    </row>
    <row r="5" spans="1:10">
      <c r="A5" s="6"/>
      <c r="B5" s="424"/>
      <c r="C5" s="424"/>
      <c r="D5" s="7" t="s">
        <v>7</v>
      </c>
      <c r="E5" s="7" t="s">
        <v>8</v>
      </c>
      <c r="F5" s="425"/>
      <c r="G5" s="7" t="s">
        <v>7</v>
      </c>
      <c r="H5" s="7" t="s">
        <v>8</v>
      </c>
      <c r="I5" s="425"/>
    </row>
    <row r="6" spans="1:10" s="8" customFormat="1">
      <c r="A6" s="9"/>
      <c r="B6" s="10">
        <v>1</v>
      </c>
      <c r="C6" s="11" t="s">
        <v>9</v>
      </c>
      <c r="D6" s="12">
        <v>8.32</v>
      </c>
      <c r="E6" s="12">
        <v>8.39</v>
      </c>
      <c r="F6" s="13">
        <v>7.0000000000000284E-2</v>
      </c>
      <c r="G6" s="10">
        <v>1</v>
      </c>
      <c r="H6" s="10">
        <v>1</v>
      </c>
      <c r="I6" s="14">
        <v>0</v>
      </c>
      <c r="J6" s="15">
        <v>606</v>
      </c>
    </row>
    <row r="7" spans="1:10">
      <c r="A7" s="9"/>
      <c r="B7" s="10">
        <v>2</v>
      </c>
      <c r="C7" s="11" t="s">
        <v>10</v>
      </c>
      <c r="D7" s="13">
        <v>6.91</v>
      </c>
      <c r="E7" s="13">
        <v>7.25</v>
      </c>
      <c r="F7" s="13">
        <v>0.33999999999999986</v>
      </c>
      <c r="G7" s="10">
        <v>3</v>
      </c>
      <c r="H7" s="10">
        <v>2</v>
      </c>
      <c r="I7" s="14">
        <v>1</v>
      </c>
      <c r="J7" s="15">
        <v>620</v>
      </c>
    </row>
    <row r="8" spans="1:10">
      <c r="A8" s="16"/>
      <c r="B8" s="10">
        <v>3</v>
      </c>
      <c r="C8" s="11" t="s">
        <v>11</v>
      </c>
      <c r="D8" s="13">
        <v>6.76</v>
      </c>
      <c r="E8" s="13">
        <v>7.17</v>
      </c>
      <c r="F8" s="13">
        <v>0.41000000000000014</v>
      </c>
      <c r="G8" s="10">
        <v>4</v>
      </c>
      <c r="H8" s="10">
        <v>3</v>
      </c>
      <c r="I8" s="14">
        <v>1</v>
      </c>
      <c r="J8" s="15">
        <v>607</v>
      </c>
    </row>
    <row r="9" spans="1:10">
      <c r="A9" s="9"/>
      <c r="B9" s="10">
        <v>4</v>
      </c>
      <c r="C9" s="11" t="s">
        <v>12</v>
      </c>
      <c r="D9" s="13">
        <v>6.95</v>
      </c>
      <c r="E9" s="13">
        <v>6.44</v>
      </c>
      <c r="F9" s="17">
        <v>-0.50999999999999979</v>
      </c>
      <c r="G9" s="10">
        <v>2</v>
      </c>
      <c r="H9" s="10">
        <v>4</v>
      </c>
      <c r="I9" s="18">
        <v>-2</v>
      </c>
      <c r="J9" s="15">
        <v>621</v>
      </c>
    </row>
    <row r="10" spans="1:10">
      <c r="A10" s="9"/>
      <c r="B10" s="10">
        <v>5</v>
      </c>
      <c r="C10" s="11" t="s">
        <v>13</v>
      </c>
      <c r="D10" s="17">
        <v>5.03</v>
      </c>
      <c r="E10" s="13">
        <v>5.7</v>
      </c>
      <c r="F10" s="13">
        <v>0.66999999999999993</v>
      </c>
      <c r="G10" s="10">
        <v>6</v>
      </c>
      <c r="H10" s="10">
        <v>5</v>
      </c>
      <c r="I10" s="14">
        <v>1</v>
      </c>
      <c r="J10" s="15">
        <v>601</v>
      </c>
    </row>
    <row r="11" spans="1:10">
      <c r="A11" s="9"/>
      <c r="B11" s="10">
        <v>6</v>
      </c>
      <c r="C11" s="11" t="s">
        <v>14</v>
      </c>
      <c r="D11" s="13">
        <v>5.71</v>
      </c>
      <c r="E11" s="13">
        <v>5.5</v>
      </c>
      <c r="F11" s="17">
        <v>-0.20999999999999996</v>
      </c>
      <c r="G11" s="10">
        <v>5</v>
      </c>
      <c r="H11" s="10">
        <v>6</v>
      </c>
      <c r="I11" s="18">
        <v>-1</v>
      </c>
      <c r="J11" s="15">
        <v>611</v>
      </c>
    </row>
    <row r="12" spans="1:10">
      <c r="A12" s="9"/>
      <c r="B12" s="10">
        <v>7</v>
      </c>
      <c r="C12" s="11" t="s">
        <v>15</v>
      </c>
      <c r="D12" s="19">
        <v>2.87</v>
      </c>
      <c r="E12" s="17">
        <v>5.14</v>
      </c>
      <c r="F12" s="12">
        <v>2.2699999999999996</v>
      </c>
      <c r="G12" s="10">
        <v>14</v>
      </c>
      <c r="H12" s="10">
        <v>7</v>
      </c>
      <c r="I12" s="20">
        <v>7</v>
      </c>
      <c r="J12" s="15">
        <v>602</v>
      </c>
    </row>
    <row r="13" spans="1:10">
      <c r="A13" s="9"/>
      <c r="B13" s="10">
        <v>8</v>
      </c>
      <c r="C13" s="11" t="s">
        <v>16</v>
      </c>
      <c r="D13" s="17">
        <v>4.5</v>
      </c>
      <c r="E13" s="17">
        <v>5</v>
      </c>
      <c r="F13" s="13">
        <v>0.5</v>
      </c>
      <c r="G13" s="10">
        <v>10</v>
      </c>
      <c r="H13" s="10">
        <v>8</v>
      </c>
      <c r="I13" s="14">
        <v>2</v>
      </c>
      <c r="J13" s="15">
        <v>619</v>
      </c>
    </row>
    <row r="14" spans="1:10">
      <c r="A14" s="9"/>
      <c r="B14" s="10">
        <v>9</v>
      </c>
      <c r="C14" s="11" t="s">
        <v>17</v>
      </c>
      <c r="D14" s="17">
        <v>4.8899999999999997</v>
      </c>
      <c r="E14" s="17">
        <v>4.9000000000000004</v>
      </c>
      <c r="F14" s="13">
        <v>1.0000000000000675E-2</v>
      </c>
      <c r="G14" s="10">
        <v>7</v>
      </c>
      <c r="H14" s="10">
        <v>9</v>
      </c>
      <c r="I14" s="18">
        <v>-2</v>
      </c>
      <c r="J14" s="15">
        <v>609</v>
      </c>
    </row>
    <row r="15" spans="1:10">
      <c r="A15" s="9"/>
      <c r="B15" s="10">
        <v>10</v>
      </c>
      <c r="C15" s="11" t="s">
        <v>18</v>
      </c>
      <c r="D15" s="17">
        <v>4.54</v>
      </c>
      <c r="E15" s="17">
        <v>4.76</v>
      </c>
      <c r="F15" s="13">
        <v>0.21999999999999975</v>
      </c>
      <c r="G15" s="10">
        <v>9</v>
      </c>
      <c r="H15" s="10">
        <v>10</v>
      </c>
      <c r="I15" s="18">
        <v>-1</v>
      </c>
      <c r="J15" s="15">
        <v>617</v>
      </c>
    </row>
    <row r="16" spans="1:10">
      <c r="A16" s="9"/>
      <c r="B16" s="10">
        <v>11</v>
      </c>
      <c r="C16" s="11" t="s">
        <v>19</v>
      </c>
      <c r="D16" s="17">
        <v>4.4000000000000004</v>
      </c>
      <c r="E16" s="17">
        <v>4.53</v>
      </c>
      <c r="F16" s="13">
        <v>0.12999999999999989</v>
      </c>
      <c r="G16" s="10">
        <v>12</v>
      </c>
      <c r="H16" s="10">
        <v>11</v>
      </c>
      <c r="I16" s="14">
        <v>1</v>
      </c>
      <c r="J16" s="15">
        <v>604</v>
      </c>
    </row>
    <row r="17" spans="1:10">
      <c r="A17" s="9"/>
      <c r="B17" s="10">
        <v>12</v>
      </c>
      <c r="C17" s="11" t="s">
        <v>20</v>
      </c>
      <c r="D17" s="17">
        <v>4.8899999999999997</v>
      </c>
      <c r="E17" s="17">
        <v>4.28</v>
      </c>
      <c r="F17" s="17">
        <v>-0.60999999999999943</v>
      </c>
      <c r="G17" s="10">
        <v>8</v>
      </c>
      <c r="H17" s="10">
        <v>12</v>
      </c>
      <c r="I17" s="21">
        <v>-4</v>
      </c>
      <c r="J17" s="15">
        <v>618</v>
      </c>
    </row>
    <row r="18" spans="1:10" ht="30">
      <c r="A18" s="9"/>
      <c r="B18" s="10">
        <v>13</v>
      </c>
      <c r="C18" s="11" t="s">
        <v>21</v>
      </c>
      <c r="D18" s="17">
        <v>4.42</v>
      </c>
      <c r="E18" s="17">
        <v>3.49</v>
      </c>
      <c r="F18" s="17">
        <v>-0.92999999999999972</v>
      </c>
      <c r="G18" s="10">
        <v>11</v>
      </c>
      <c r="H18" s="10">
        <v>13</v>
      </c>
      <c r="I18" s="18">
        <v>-2</v>
      </c>
      <c r="J18" s="15">
        <v>624</v>
      </c>
    </row>
    <row r="19" spans="1:10">
      <c r="A19" s="22"/>
      <c r="B19" s="23">
        <v>14</v>
      </c>
      <c r="C19" s="24" t="s">
        <v>22</v>
      </c>
      <c r="D19" s="25">
        <v>3.64</v>
      </c>
      <c r="E19" s="26">
        <v>2.81</v>
      </c>
      <c r="F19" s="27">
        <v>-0.83000000000000007</v>
      </c>
      <c r="G19" s="23">
        <v>13</v>
      </c>
      <c r="H19" s="23">
        <v>14</v>
      </c>
      <c r="I19" s="28">
        <v>-1</v>
      </c>
      <c r="J19" s="29">
        <v>605</v>
      </c>
    </row>
    <row r="20" spans="1:10" s="30" customFormat="1" ht="14.25">
      <c r="B20" s="31"/>
      <c r="C20" s="32" t="s">
        <v>23</v>
      </c>
      <c r="D20" s="33">
        <v>73.83</v>
      </c>
      <c r="E20" s="33">
        <v>75.36</v>
      </c>
      <c r="F20" s="34">
        <v>1.5300000000000011</v>
      </c>
      <c r="G20" s="35"/>
      <c r="H20" s="35"/>
      <c r="I20" s="35"/>
    </row>
    <row r="21" spans="1:10" s="36" customFormat="1">
      <c r="B21" s="10"/>
      <c r="C21" s="32" t="s">
        <v>24</v>
      </c>
      <c r="D21" s="33">
        <v>5.27</v>
      </c>
      <c r="E21" s="33">
        <v>5.38</v>
      </c>
      <c r="F21" s="33"/>
      <c r="G21" s="37"/>
      <c r="H21" s="37"/>
      <c r="I21" s="37"/>
    </row>
    <row r="22" spans="1:10">
      <c r="B22" s="38"/>
      <c r="C22" s="39"/>
      <c r="D22" s="40"/>
      <c r="E22" s="40"/>
      <c r="F22" s="40"/>
      <c r="G22" s="40"/>
      <c r="H22" s="40"/>
      <c r="I22" s="40"/>
    </row>
    <row r="23" spans="1:10" ht="15.75">
      <c r="B23" s="38"/>
      <c r="C23" s="41" t="s">
        <v>25</v>
      </c>
      <c r="D23" s="42"/>
      <c r="E23" s="41"/>
      <c r="F23" s="40"/>
      <c r="G23" s="40"/>
      <c r="H23" s="40"/>
      <c r="I23" s="40"/>
    </row>
    <row r="24" spans="1:10" ht="15.75">
      <c r="B24" s="38"/>
      <c r="C24" s="41" t="s">
        <v>26</v>
      </c>
      <c r="D24" s="43"/>
      <c r="E24" s="41"/>
      <c r="F24" s="40"/>
      <c r="G24" s="40"/>
      <c r="H24" s="40"/>
      <c r="I24" s="40"/>
    </row>
    <row r="25" spans="1:10" ht="15.75">
      <c r="B25" s="38"/>
      <c r="C25" s="41" t="s">
        <v>27</v>
      </c>
      <c r="D25" s="44"/>
      <c r="E25" s="41"/>
      <c r="F25" s="40"/>
      <c r="G25" s="40"/>
      <c r="H25" s="40"/>
      <c r="I25" s="40"/>
    </row>
    <row r="26" spans="1:10" ht="15.75">
      <c r="B26" s="38"/>
      <c r="C26" s="41" t="s">
        <v>28</v>
      </c>
      <c r="D26" s="45"/>
      <c r="E26" s="41"/>
      <c r="F26" s="40"/>
      <c r="G26" s="40"/>
      <c r="H26" s="40"/>
      <c r="I26" s="40"/>
    </row>
    <row r="29" spans="1:10">
      <c r="F29" s="4">
        <v>9</v>
      </c>
      <c r="G29" s="4">
        <f>9*100/14</f>
        <v>64.285714285714292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B1:I1"/>
    <mergeCell ref="B2:D2"/>
    <mergeCell ref="B4:B5"/>
    <mergeCell ref="C4:C5"/>
    <mergeCell ref="D4:E4"/>
    <mergeCell ref="F4:F5"/>
    <mergeCell ref="G4:H4"/>
    <mergeCell ref="I4:I5"/>
  </mergeCells>
  <pageMargins left="1.0200000000000002" right="0.19685039370078738" top="0.35433070866141736" bottom="0.19685039370078738" header="0.15748031496062992" footer="0.15748031496062992"/>
  <pageSetup paperSize="9" scale="57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tabColor rgb="FF00B050"/>
  </sheetPr>
  <dimension ref="A1:H41"/>
  <sheetViews>
    <sheetView workbookViewId="0">
      <selection activeCell="F8" sqref="F8"/>
    </sheetView>
  </sheetViews>
  <sheetFormatPr defaultColWidth="9.140625" defaultRowHeight="15"/>
  <cols>
    <col min="1" max="1" width="8.42578125" style="46" customWidth="1"/>
    <col min="2" max="2" width="41.140625" style="3" customWidth="1"/>
    <col min="3" max="3" width="24.85546875" style="3" customWidth="1"/>
    <col min="4" max="4" width="22.85546875" style="3" customWidth="1"/>
    <col min="5" max="5" width="19.5703125" style="218" customWidth="1"/>
    <col min="6" max="6" width="13.140625" style="3" customWidth="1"/>
    <col min="7" max="7" width="9.85546875" style="3" customWidth="1"/>
    <col min="8" max="8" width="31.85546875" style="3" customWidth="1"/>
    <col min="9" max="16384" width="9.140625" style="3"/>
  </cols>
  <sheetData>
    <row r="1" spans="1:8" s="178" customFormat="1" ht="20.25">
      <c r="A1" s="447" t="s">
        <v>101</v>
      </c>
      <c r="B1" s="447"/>
      <c r="C1" s="447"/>
      <c r="D1" s="447"/>
      <c r="E1" s="447"/>
      <c r="F1" s="447"/>
    </row>
    <row r="2" spans="1:8" ht="19.5">
      <c r="A2" s="448" t="s">
        <v>152</v>
      </c>
      <c r="B2" s="448"/>
      <c r="C2" s="448"/>
      <c r="D2" s="448"/>
      <c r="E2" s="448"/>
      <c r="F2" s="448"/>
    </row>
    <row r="4" spans="1:8">
      <c r="F4" s="181" t="s">
        <v>134</v>
      </c>
      <c r="H4" s="3">
        <v>20</v>
      </c>
    </row>
    <row r="5" spans="1:8" ht="123.75" customHeight="1">
      <c r="A5" s="47" t="s">
        <v>35</v>
      </c>
      <c r="B5" s="47" t="s">
        <v>2</v>
      </c>
      <c r="C5" s="47" t="s">
        <v>136</v>
      </c>
      <c r="D5" s="47" t="s">
        <v>153</v>
      </c>
      <c r="E5" s="202" t="s">
        <v>154</v>
      </c>
      <c r="F5" s="47" t="s">
        <v>139</v>
      </c>
      <c r="H5" s="46" t="s">
        <v>155</v>
      </c>
    </row>
    <row r="6" spans="1:8">
      <c r="A6" s="219">
        <v>600</v>
      </c>
      <c r="B6" s="219" t="s">
        <v>51</v>
      </c>
      <c r="C6" s="195">
        <v>55976453.420000002</v>
      </c>
      <c r="D6" s="195">
        <v>55925104.170000002</v>
      </c>
      <c r="E6" s="220">
        <f t="shared" ref="E6:E21" si="0">ROUND((C6-D6)/C6*100,2)</f>
        <v>0.09</v>
      </c>
      <c r="F6" s="196">
        <v>4</v>
      </c>
      <c r="G6" s="162" t="str">
        <f>LOOKUP(E6,{0,0.01,0.3,0.499,0.5,0.7,0.99,1,3,4.99,5,7,9.99,10,30,40,50},{"5+","5","5-","4+","4","4-","3+","3","3-","2+","2","2-","1+","1","1-","0"})</f>
        <v>5</v>
      </c>
      <c r="H6" s="46"/>
    </row>
    <row r="7" spans="1:8">
      <c r="A7" s="219">
        <v>601</v>
      </c>
      <c r="B7" s="219" t="s">
        <v>13</v>
      </c>
      <c r="C7" s="195">
        <v>338870705</v>
      </c>
      <c r="D7" s="195">
        <v>337439276.83999997</v>
      </c>
      <c r="E7" s="220">
        <f t="shared" si="0"/>
        <v>0.42</v>
      </c>
      <c r="F7" s="196">
        <v>4</v>
      </c>
      <c r="G7" s="162" t="str">
        <f>LOOKUP(E7,{0,0.01,0.3,0.499,0.5,0.7,0.99,1,3,4.99,5,7,9.99,10,30,40,50},{"5+","5","5-","4+","4","4-","3+","3","3-","2+","2","2-","1+","1","1-","0"})</f>
        <v>5-</v>
      </c>
    </row>
    <row r="8" spans="1:8" ht="30">
      <c r="A8" s="193">
        <v>602</v>
      </c>
      <c r="B8" s="193" t="s">
        <v>53</v>
      </c>
      <c r="C8" s="195">
        <v>237092765.38999999</v>
      </c>
      <c r="D8" s="195">
        <v>221310168.77000001</v>
      </c>
      <c r="E8" s="220">
        <f t="shared" si="0"/>
        <v>6.66</v>
      </c>
      <c r="F8" s="196">
        <f t="shared" ref="F8:F21" si="1">VALUE(LEFT(G8,1))</f>
        <v>2</v>
      </c>
      <c r="G8" s="162" t="str">
        <f>LOOKUP(E8,{0,0.01,0.3,0.499,0.5,0.7,0.99,1,3,4.99,5,7,9.99,10,30,40,50},{"5+","5","5-","4+","4","4-","3+","3","3-","2+","2","2-","1+","1","1-","0"})</f>
        <v>2</v>
      </c>
    </row>
    <row r="9" spans="1:8" ht="30">
      <c r="A9" s="193">
        <v>604</v>
      </c>
      <c r="B9" s="193" t="s">
        <v>49</v>
      </c>
      <c r="C9" s="195">
        <v>409265921.32999998</v>
      </c>
      <c r="D9" s="195">
        <v>160093193.28999999</v>
      </c>
      <c r="E9" s="220">
        <f t="shared" si="0"/>
        <v>60.88</v>
      </c>
      <c r="F9" s="196">
        <v>0</v>
      </c>
      <c r="G9" s="162" t="e">
        <f>LOOKUP(E9,{0,0.01,0.3,0.499,0.5,0.7,0.99,1,3,4.99,5,7,9.99,10,30,40,50},{"5+","5","5-","4+","4","4-","3+","3","3-","2+","2","2-","1+","1","1-","0"})</f>
        <v>#N/A</v>
      </c>
    </row>
    <row r="10" spans="1:8" ht="45">
      <c r="A10" s="193">
        <v>605</v>
      </c>
      <c r="B10" s="193" t="s">
        <v>45</v>
      </c>
      <c r="C10" s="195">
        <v>200922573.59999999</v>
      </c>
      <c r="D10" s="195">
        <v>200917806.00999999</v>
      </c>
      <c r="E10" s="220">
        <f t="shared" si="0"/>
        <v>0</v>
      </c>
      <c r="F10" s="196">
        <f t="shared" si="1"/>
        <v>5</v>
      </c>
      <c r="G10" s="162" t="str">
        <f>LOOKUP(E10,{0,0.01,0.3,0.499,0.5,0.7,0.99,1,3,4.99,5,7,9.99,10,30,40,50},{"5+","5","5-","4+","4","4-","3+","3","3-","2+","2","2-","1+","1","1-","0"})</f>
        <v>5+</v>
      </c>
    </row>
    <row r="11" spans="1:8" ht="30">
      <c r="A11" s="193">
        <v>606</v>
      </c>
      <c r="B11" s="193" t="s">
        <v>46</v>
      </c>
      <c r="C11" s="195">
        <v>6262252639.46</v>
      </c>
      <c r="D11" s="195">
        <v>6238168462.9499998</v>
      </c>
      <c r="E11" s="220">
        <f t="shared" si="0"/>
        <v>0.38</v>
      </c>
      <c r="F11" s="196">
        <v>4</v>
      </c>
      <c r="G11" s="162" t="str">
        <f>LOOKUP(E11,{0,0.01,0.3,0.499,0.5,0.7,0.99,1,3,4.99,5,7,9.99,10,30,40,50},{"5+","5","5-","4+","4","4-","3+","3","3-","2+","2","2-","1+","1","1-","0"})</f>
        <v>5-</v>
      </c>
    </row>
    <row r="12" spans="1:8" ht="30">
      <c r="A12" s="193">
        <v>607</v>
      </c>
      <c r="B12" s="193" t="s">
        <v>50</v>
      </c>
      <c r="C12" s="195">
        <v>773248544.88</v>
      </c>
      <c r="D12" s="195">
        <v>771344610.74000001</v>
      </c>
      <c r="E12" s="220">
        <f t="shared" si="0"/>
        <v>0.25</v>
      </c>
      <c r="F12" s="196">
        <v>4</v>
      </c>
      <c r="G12" s="162" t="str">
        <f>LOOKUP(E12,{0,0.01,0.3,0.499,0.5,0.7,0.99,1,3,4.99,5,7,9.99,10,30,40,50},{"5+","5","5-","4+","4","4-","3+","3","3-","2+","2","2-","1+","1","1-","0"})</f>
        <v>5</v>
      </c>
    </row>
    <row r="13" spans="1:8" ht="45">
      <c r="A13" s="193">
        <v>609</v>
      </c>
      <c r="B13" s="193" t="s">
        <v>37</v>
      </c>
      <c r="C13" s="195">
        <v>4031392433.4699998</v>
      </c>
      <c r="D13" s="195">
        <v>4027776522.8400002</v>
      </c>
      <c r="E13" s="220">
        <f t="shared" si="0"/>
        <v>0.09</v>
      </c>
      <c r="F13" s="196">
        <v>4</v>
      </c>
      <c r="G13" s="162" t="str">
        <f>LOOKUP(E13,{0,0.01,0.3,0.499,0.5,0.7,0.99,1,3,4.99,5,7,9.99,10,30,40,50},{"5+","5","5-","4+","4","4-","3+","3","3-","2+","2","2-","1+","1","1-","0"})</f>
        <v>5</v>
      </c>
    </row>
    <row r="14" spans="1:8" ht="30">
      <c r="A14" s="193">
        <v>611</v>
      </c>
      <c r="B14" s="193" t="s">
        <v>47</v>
      </c>
      <c r="C14" s="195">
        <v>275168648.26999998</v>
      </c>
      <c r="D14" s="195">
        <v>271597087.63999999</v>
      </c>
      <c r="E14" s="220">
        <f t="shared" si="0"/>
        <v>1.3</v>
      </c>
      <c r="F14" s="196">
        <f t="shared" si="1"/>
        <v>3</v>
      </c>
      <c r="G14" s="162" t="str">
        <f>LOOKUP(E14,{0,0.01,0.3,0.499,0.5,0.7,0.99,1,3,4.99,5,7,9.99,10,30,40,50},{"5+","5","5-","4+","4","4-","3+","3","3-","2+","2","2-","1+","1","1-","0"})</f>
        <v>3</v>
      </c>
    </row>
    <row r="15" spans="1:8" ht="30">
      <c r="A15" s="193">
        <v>617</v>
      </c>
      <c r="B15" s="193" t="s">
        <v>42</v>
      </c>
      <c r="C15" s="195">
        <v>222857183.03</v>
      </c>
      <c r="D15" s="195">
        <v>220617806.47</v>
      </c>
      <c r="E15" s="220">
        <f t="shared" si="0"/>
        <v>1</v>
      </c>
      <c r="F15" s="196">
        <f t="shared" si="1"/>
        <v>3</v>
      </c>
      <c r="G15" s="162" t="str">
        <f>LOOKUP(E15,{0,0.01,0.3,0.499,0.5,0.7,0.99,1,3,4.99,5,7,9.99,10,30,40,50},{"5+","5","5-","4+","4","4-","3+","3","3-","2+","2","2-","1+","1","1-","0"})</f>
        <v>3</v>
      </c>
    </row>
    <row r="16" spans="1:8" ht="30">
      <c r="A16" s="193">
        <v>618</v>
      </c>
      <c r="B16" s="193" t="s">
        <v>38</v>
      </c>
      <c r="C16" s="195">
        <v>223406143.77000001</v>
      </c>
      <c r="D16" s="195">
        <v>223307954.18000001</v>
      </c>
      <c r="E16" s="220">
        <f t="shared" si="0"/>
        <v>0.04</v>
      </c>
      <c r="F16" s="196">
        <v>5</v>
      </c>
      <c r="G16" s="162" t="str">
        <f>LOOKUP(E16,{0,0.01,0.3,0.499,0.5,0.7,0.99,1,3,4.99,5,7,9.99,10,30,40,50},{"5+","5","5-","4+","4","4-","3+","3","3-","2+","2","2-","1+","1","1-","0"})</f>
        <v>5</v>
      </c>
    </row>
    <row r="17" spans="1:7" ht="30">
      <c r="A17" s="193">
        <v>619</v>
      </c>
      <c r="B17" s="193" t="s">
        <v>44</v>
      </c>
      <c r="C17" s="195">
        <v>383358524.26999998</v>
      </c>
      <c r="D17" s="195">
        <v>363189849.58999997</v>
      </c>
      <c r="E17" s="220">
        <f t="shared" si="0"/>
        <v>5.26</v>
      </c>
      <c r="F17" s="196">
        <f t="shared" si="1"/>
        <v>2</v>
      </c>
      <c r="G17" s="162" t="str">
        <f>LOOKUP(E17,{0,0.01,0.3,0.499,0.5,0.7,0.99,1,3,4.99,5,7,9.99,10,30,40,50},{"5+","5","5-","4+","4","4-","3+","3","3-","2+","2","2-","1+","1","1-","0"})</f>
        <v>2</v>
      </c>
    </row>
    <row r="18" spans="1:7" ht="30">
      <c r="A18" s="193">
        <v>620</v>
      </c>
      <c r="B18" s="193" t="s">
        <v>48</v>
      </c>
      <c r="C18" s="195">
        <v>2074329803.05</v>
      </c>
      <c r="D18" s="195">
        <v>1961958975.5799999</v>
      </c>
      <c r="E18" s="220">
        <f t="shared" si="0"/>
        <v>5.42</v>
      </c>
      <c r="F18" s="196">
        <f t="shared" si="1"/>
        <v>2</v>
      </c>
      <c r="G18" s="162" t="str">
        <f>LOOKUP(E18,{0,0.01,0.3,0.499,0.5,0.7,0.99,1,3,4.99,5,7,9.99,10,30,40,50},{"5+","5","5-","4+","4","4-","3+","3","3-","2+","2","2-","1+","1","1-","0"})</f>
        <v>2</v>
      </c>
    </row>
    <row r="19" spans="1:7" ht="30">
      <c r="A19" s="193">
        <v>621</v>
      </c>
      <c r="B19" s="193" t="s">
        <v>54</v>
      </c>
      <c r="C19" s="195">
        <v>3168800803.3899999</v>
      </c>
      <c r="D19" s="195">
        <v>2489659692.73</v>
      </c>
      <c r="E19" s="220">
        <f t="shared" si="0"/>
        <v>21.43</v>
      </c>
      <c r="F19" s="196">
        <f t="shared" si="1"/>
        <v>1</v>
      </c>
      <c r="G19" s="162" t="str">
        <f>LOOKUP(E19,{0,0.01,0.3,0.499,0.5,0.7,0.99,1,3,4.99,5,7,9.99,10,30,40,50},{"5+","5","5-","4+","4","4-","3+","3","3-","2+","2","2-","1+","1","1-","0"})</f>
        <v>1</v>
      </c>
    </row>
    <row r="20" spans="1:7" ht="45">
      <c r="A20" s="193">
        <v>624</v>
      </c>
      <c r="B20" s="193" t="s">
        <v>40</v>
      </c>
      <c r="C20" s="195">
        <v>130509349.63</v>
      </c>
      <c r="D20" s="195">
        <v>129450332.72</v>
      </c>
      <c r="E20" s="220">
        <f t="shared" si="0"/>
        <v>0.81</v>
      </c>
      <c r="F20" s="196">
        <f t="shared" si="1"/>
        <v>4</v>
      </c>
      <c r="G20" s="162" t="str">
        <f>LOOKUP(E20,{0,0.01,0.3,0.499,0.5,0.7,0.99,1,3,4.99,5,7,9.99,10,30,40,50},{"5+","5","5-","4+","4","4-","3+","3","3-","2+","2","2-","1+","1","1-","0"})</f>
        <v>4-</v>
      </c>
    </row>
    <row r="21" spans="1:7" ht="30">
      <c r="A21" s="193">
        <v>643</v>
      </c>
      <c r="B21" s="193" t="s">
        <v>156</v>
      </c>
      <c r="C21" s="195">
        <v>25334489.190000001</v>
      </c>
      <c r="D21" s="195">
        <v>25334489.190000001</v>
      </c>
      <c r="E21" s="220">
        <f t="shared" si="0"/>
        <v>0</v>
      </c>
      <c r="F21" s="196">
        <f t="shared" si="1"/>
        <v>5</v>
      </c>
      <c r="G21" s="162" t="str">
        <f>LOOKUP(E21,{0,0.01,0.3,0.499,0.5,0.7,0.99,1,3,4.99,5,7,9.99,10,30,40,50},{"5+","5","5-","4+","4","4-","3+","3","3-","2+","2","2-","1+","1","1-","0"})</f>
        <v>5+</v>
      </c>
    </row>
    <row r="22" spans="1:7">
      <c r="A22" s="221"/>
      <c r="B22" s="221"/>
      <c r="C22" s="222"/>
      <c r="D22" s="222"/>
      <c r="F22" s="223"/>
      <c r="G22" s="4"/>
    </row>
    <row r="23" spans="1:7">
      <c r="A23" s="221"/>
      <c r="B23" s="221" t="s">
        <v>23</v>
      </c>
      <c r="C23" s="224"/>
      <c r="D23" s="224"/>
      <c r="E23" s="218">
        <f>SUBTOTAL(9,E6:E21)</f>
        <v>104.03</v>
      </c>
      <c r="F23" s="223"/>
    </row>
    <row r="24" spans="1:7">
      <c r="A24" s="221"/>
      <c r="B24" s="225" t="s">
        <v>24</v>
      </c>
      <c r="C24" s="226"/>
      <c r="D24" s="226"/>
      <c r="E24" s="227">
        <f>ROUND(E23/16,2)</f>
        <v>6.5</v>
      </c>
      <c r="F24" s="223"/>
      <c r="G24" s="4"/>
    </row>
    <row r="25" spans="1:7">
      <c r="C25" s="228">
        <f>SUM(C6:C21)</f>
        <v>18812786981.150002</v>
      </c>
      <c r="D25" s="228">
        <f>SUM(D6:D21)</f>
        <v>17698091333.709999</v>
      </c>
      <c r="E25" s="227">
        <f>ROUND((C25-D25)/C25*100,2)</f>
        <v>5.93</v>
      </c>
      <c r="G25" s="4"/>
    </row>
    <row r="26" spans="1:7">
      <c r="C26" s="229">
        <v>17196771922</v>
      </c>
      <c r="D26" s="230">
        <v>16358865272.65</v>
      </c>
    </row>
    <row r="27" spans="1:7">
      <c r="C27" s="228">
        <f>C25-C26</f>
        <v>1616015059.1500015</v>
      </c>
      <c r="D27" s="228">
        <f>D25-D26</f>
        <v>1339226061.0599995</v>
      </c>
    </row>
    <row r="28" spans="1:7">
      <c r="E28" s="218">
        <f>8/14*100</f>
        <v>57.142857142857139</v>
      </c>
    </row>
    <row r="34" spans="2:3">
      <c r="B34" s="52" t="s">
        <v>13</v>
      </c>
      <c r="C34" s="231">
        <v>0.55000000000000004</v>
      </c>
    </row>
    <row r="35" spans="2:3" ht="30">
      <c r="B35" s="15" t="s">
        <v>53</v>
      </c>
      <c r="C35" s="231">
        <v>4.0599999999999996</v>
      </c>
    </row>
    <row r="36" spans="2:3" ht="30">
      <c r="B36" s="15" t="s">
        <v>49</v>
      </c>
      <c r="C36" s="231">
        <v>3.49</v>
      </c>
    </row>
    <row r="37" spans="2:3" ht="30">
      <c r="B37" s="15" t="s">
        <v>46</v>
      </c>
      <c r="C37" s="138">
        <v>2.12</v>
      </c>
    </row>
    <row r="38" spans="2:3">
      <c r="B38" s="138" t="s">
        <v>38</v>
      </c>
      <c r="C38" s="138">
        <v>4.09</v>
      </c>
    </row>
    <row r="39" spans="2:3">
      <c r="B39" s="138" t="s">
        <v>44</v>
      </c>
      <c r="C39" s="138">
        <v>1.57</v>
      </c>
    </row>
    <row r="40" spans="2:3">
      <c r="B40" s="138" t="s">
        <v>48</v>
      </c>
      <c r="C40" s="138">
        <v>4.1500000000000004</v>
      </c>
    </row>
    <row r="41" spans="2:3">
      <c r="B41" s="138" t="s">
        <v>54</v>
      </c>
      <c r="C41" s="138">
        <v>34.64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F1"/>
    <mergeCell ref="A2:F2"/>
  </mergeCells>
  <pageMargins left="0.35433070866141736" right="0.19685039370078738" top="0.74803149606299213" bottom="0.74803149606299213" header="0.31496062992125984" footer="0.31496062992125984"/>
  <pageSetup paperSize="9" scale="75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2">
    <tabColor rgb="FF00B050"/>
  </sheetPr>
  <dimension ref="A1:H25"/>
  <sheetViews>
    <sheetView topLeftCell="A4" workbookViewId="0">
      <selection activeCell="E15" sqref="E15"/>
    </sheetView>
  </sheetViews>
  <sheetFormatPr defaultColWidth="9.140625" defaultRowHeight="15"/>
  <cols>
    <col min="1" max="1" width="8.42578125" style="46" customWidth="1"/>
    <col min="2" max="2" width="38.42578125" style="3" customWidth="1"/>
    <col min="3" max="3" width="31.28515625" style="3" customWidth="1"/>
    <col min="4" max="4" width="26" style="3" customWidth="1"/>
    <col min="5" max="5" width="15.5703125" style="3" customWidth="1"/>
    <col min="6" max="6" width="13.140625" style="3" customWidth="1"/>
    <col min="7" max="7" width="28.140625" style="3" customWidth="1"/>
    <col min="8" max="16384" width="9.140625" style="3"/>
  </cols>
  <sheetData>
    <row r="1" spans="1:8" s="178" customFormat="1" ht="20.25">
      <c r="A1" s="447" t="s">
        <v>101</v>
      </c>
      <c r="B1" s="447"/>
      <c r="C1" s="447"/>
      <c r="D1" s="447"/>
      <c r="E1" s="447"/>
      <c r="F1" s="447"/>
    </row>
    <row r="2" spans="1:8" ht="19.5">
      <c r="A2" s="448" t="s">
        <v>157</v>
      </c>
      <c r="B2" s="448"/>
      <c r="C2" s="448"/>
      <c r="D2" s="448"/>
      <c r="E2" s="448"/>
      <c r="F2" s="448"/>
    </row>
    <row r="4" spans="1:8">
      <c r="F4" s="181" t="s">
        <v>134</v>
      </c>
      <c r="G4" s="3">
        <v>20</v>
      </c>
    </row>
    <row r="5" spans="1:8" ht="125.25" customHeight="1">
      <c r="A5" s="47" t="s">
        <v>35</v>
      </c>
      <c r="B5" s="47" t="s">
        <v>2</v>
      </c>
      <c r="C5" s="232" t="s">
        <v>158</v>
      </c>
      <c r="D5" s="232" t="s">
        <v>159</v>
      </c>
      <c r="E5" s="47" t="s">
        <v>160</v>
      </c>
      <c r="F5" s="47" t="s">
        <v>139</v>
      </c>
      <c r="G5" s="46" t="s">
        <v>161</v>
      </c>
    </row>
    <row r="6" spans="1:8">
      <c r="A6" s="233">
        <v>600</v>
      </c>
      <c r="B6" s="234" t="s">
        <v>51</v>
      </c>
      <c r="C6" s="235">
        <v>13142.94</v>
      </c>
      <c r="D6" s="236">
        <v>0</v>
      </c>
      <c r="E6" s="237">
        <v>0</v>
      </c>
      <c r="F6" s="238">
        <v>0</v>
      </c>
      <c r="G6" s="4">
        <f t="shared" ref="G6:G21" si="0">C6-D6</f>
        <v>13142.94</v>
      </c>
      <c r="H6" s="3">
        <f t="shared" ref="H6:H21" si="1">100-E6</f>
        <v>100</v>
      </c>
    </row>
    <row r="7" spans="1:8">
      <c r="A7" s="219">
        <v>601</v>
      </c>
      <c r="B7" s="239" t="s">
        <v>13</v>
      </c>
      <c r="C7" s="235">
        <v>784028.91</v>
      </c>
      <c r="D7" s="235">
        <v>812440</v>
      </c>
      <c r="E7" s="240">
        <f t="shared" ref="E7:E21" si="2">ROUND(C7/D7*100,2)</f>
        <v>96.5</v>
      </c>
      <c r="F7" s="241">
        <v>5</v>
      </c>
      <c r="G7" s="4">
        <f t="shared" si="0"/>
        <v>-28411.089999999967</v>
      </c>
      <c r="H7" s="3">
        <f t="shared" si="1"/>
        <v>3.5</v>
      </c>
    </row>
    <row r="8" spans="1:8" ht="30">
      <c r="A8" s="193">
        <v>602</v>
      </c>
      <c r="B8" s="242" t="s">
        <v>53</v>
      </c>
      <c r="C8" s="235">
        <v>760135076.24000001</v>
      </c>
      <c r="D8" s="235">
        <v>652997450</v>
      </c>
      <c r="E8" s="240">
        <f t="shared" si="2"/>
        <v>116.41</v>
      </c>
      <c r="F8" s="243">
        <v>2</v>
      </c>
      <c r="G8" s="4">
        <f t="shared" si="0"/>
        <v>107137626.24000001</v>
      </c>
      <c r="H8" s="3">
        <f t="shared" si="1"/>
        <v>-16.409999999999997</v>
      </c>
    </row>
    <row r="9" spans="1:8" ht="30">
      <c r="A9" s="193">
        <v>604</v>
      </c>
      <c r="B9" s="242" t="s">
        <v>49</v>
      </c>
      <c r="C9" s="235">
        <v>50000</v>
      </c>
      <c r="D9" s="235">
        <v>15590</v>
      </c>
      <c r="E9" s="240">
        <f t="shared" si="2"/>
        <v>320.72000000000003</v>
      </c>
      <c r="F9" s="243">
        <v>0</v>
      </c>
      <c r="G9" s="4">
        <f t="shared" si="0"/>
        <v>34410</v>
      </c>
      <c r="H9" s="3">
        <f t="shared" si="1"/>
        <v>-220.72000000000003</v>
      </c>
    </row>
    <row r="10" spans="1:8" ht="45">
      <c r="A10" s="193">
        <v>605</v>
      </c>
      <c r="B10" s="242" t="s">
        <v>69</v>
      </c>
      <c r="C10" s="235">
        <v>18203001.629999999</v>
      </c>
      <c r="D10" s="235">
        <v>14764230</v>
      </c>
      <c r="E10" s="240">
        <f t="shared" si="2"/>
        <v>123.29</v>
      </c>
      <c r="F10" s="243">
        <v>2</v>
      </c>
      <c r="G10" s="4">
        <f t="shared" si="0"/>
        <v>3438771.629999999</v>
      </c>
      <c r="H10" s="3">
        <f t="shared" si="1"/>
        <v>-23.290000000000006</v>
      </c>
    </row>
    <row r="11" spans="1:8" ht="30">
      <c r="A11" s="193">
        <v>606</v>
      </c>
      <c r="B11" s="242" t="s">
        <v>46</v>
      </c>
      <c r="C11" s="235">
        <v>24457.3</v>
      </c>
      <c r="D11" s="235">
        <v>66430</v>
      </c>
      <c r="E11" s="240">
        <f t="shared" si="2"/>
        <v>36.82</v>
      </c>
      <c r="F11" s="243">
        <v>0</v>
      </c>
      <c r="G11" s="4">
        <f t="shared" si="0"/>
        <v>-41972.7</v>
      </c>
      <c r="H11" s="3">
        <f t="shared" si="1"/>
        <v>63.18</v>
      </c>
    </row>
    <row r="12" spans="1:8" ht="45">
      <c r="A12" s="193">
        <v>607</v>
      </c>
      <c r="B12" s="242" t="s">
        <v>50</v>
      </c>
      <c r="C12" s="235">
        <v>80592.84</v>
      </c>
      <c r="D12" s="235">
        <v>749050</v>
      </c>
      <c r="E12" s="240">
        <f t="shared" si="2"/>
        <v>10.76</v>
      </c>
      <c r="F12" s="243">
        <v>0</v>
      </c>
      <c r="G12" s="4">
        <f t="shared" si="0"/>
        <v>-668457.16</v>
      </c>
      <c r="H12" s="3">
        <f t="shared" si="1"/>
        <v>89.24</v>
      </c>
    </row>
    <row r="13" spans="1:8" ht="45">
      <c r="A13" s="193">
        <v>609</v>
      </c>
      <c r="B13" s="242" t="s">
        <v>37</v>
      </c>
      <c r="C13" s="235">
        <v>2227905.34</v>
      </c>
      <c r="D13" s="235">
        <v>2143211.75</v>
      </c>
      <c r="E13" s="240">
        <f t="shared" si="2"/>
        <v>103.95</v>
      </c>
      <c r="F13" s="243">
        <v>5</v>
      </c>
      <c r="G13" s="4">
        <f t="shared" si="0"/>
        <v>84693.589999999851</v>
      </c>
      <c r="H13" s="3">
        <f t="shared" si="1"/>
        <v>-3.9500000000000028</v>
      </c>
    </row>
    <row r="14" spans="1:8" ht="30">
      <c r="A14" s="193">
        <v>611</v>
      </c>
      <c r="B14" s="242" t="s">
        <v>47</v>
      </c>
      <c r="C14" s="236">
        <v>0</v>
      </c>
      <c r="D14" s="235">
        <v>1810</v>
      </c>
      <c r="E14" s="244" t="s">
        <v>92</v>
      </c>
      <c r="F14" s="243">
        <v>0</v>
      </c>
      <c r="G14" s="4">
        <f t="shared" si="0"/>
        <v>-1810</v>
      </c>
      <c r="H14" s="3" t="e">
        <f t="shared" si="1"/>
        <v>#VALUE!</v>
      </c>
    </row>
    <row r="15" spans="1:8" ht="30">
      <c r="A15" s="193">
        <v>617</v>
      </c>
      <c r="B15" s="242" t="s">
        <v>42</v>
      </c>
      <c r="C15" s="235">
        <v>1396477.53</v>
      </c>
      <c r="D15" s="235">
        <v>3813772</v>
      </c>
      <c r="E15" s="240">
        <f t="shared" si="2"/>
        <v>36.619999999999997</v>
      </c>
      <c r="F15" s="241">
        <v>0</v>
      </c>
      <c r="G15" s="4">
        <f t="shared" si="0"/>
        <v>-2417294.4699999997</v>
      </c>
      <c r="H15" s="3">
        <f t="shared" si="1"/>
        <v>63.38</v>
      </c>
    </row>
    <row r="16" spans="1:8" ht="30">
      <c r="A16" s="193">
        <v>618</v>
      </c>
      <c r="B16" s="242" t="s">
        <v>38</v>
      </c>
      <c r="C16" s="235">
        <v>873435.05</v>
      </c>
      <c r="D16" s="235">
        <v>528077.5</v>
      </c>
      <c r="E16" s="240">
        <f t="shared" si="2"/>
        <v>165.4</v>
      </c>
      <c r="F16" s="243">
        <v>0</v>
      </c>
      <c r="G16" s="4">
        <f t="shared" si="0"/>
        <v>345357.55000000005</v>
      </c>
      <c r="H16" s="3">
        <f t="shared" si="1"/>
        <v>-65.400000000000006</v>
      </c>
    </row>
    <row r="17" spans="1:8" ht="30">
      <c r="A17" s="193">
        <v>619</v>
      </c>
      <c r="B17" s="242" t="s">
        <v>44</v>
      </c>
      <c r="C17" s="235">
        <v>4343508.83</v>
      </c>
      <c r="D17" s="235">
        <v>4317933.4400000004</v>
      </c>
      <c r="E17" s="240">
        <f t="shared" si="2"/>
        <v>100.59</v>
      </c>
      <c r="F17" s="241">
        <v>5</v>
      </c>
      <c r="G17" s="4">
        <f t="shared" si="0"/>
        <v>25575.389999999665</v>
      </c>
      <c r="H17" s="3">
        <f t="shared" si="1"/>
        <v>-0.59000000000000341</v>
      </c>
    </row>
    <row r="18" spans="1:8" ht="30">
      <c r="A18" s="193">
        <v>620</v>
      </c>
      <c r="B18" s="242" t="s">
        <v>48</v>
      </c>
      <c r="C18" s="235">
        <v>8957414.2699999996</v>
      </c>
      <c r="D18" s="235">
        <v>5659839.8499999996</v>
      </c>
      <c r="E18" s="240">
        <f t="shared" si="2"/>
        <v>158.26</v>
      </c>
      <c r="F18" s="243">
        <v>0</v>
      </c>
      <c r="G18" s="4">
        <f t="shared" si="0"/>
        <v>3297574.42</v>
      </c>
      <c r="H18" s="3">
        <f t="shared" si="1"/>
        <v>-58.259999999999991</v>
      </c>
    </row>
    <row r="19" spans="1:8" ht="30">
      <c r="A19" s="193">
        <v>621</v>
      </c>
      <c r="B19" s="242" t="s">
        <v>54</v>
      </c>
      <c r="C19" s="235">
        <v>60596835.119999997</v>
      </c>
      <c r="D19" s="235">
        <v>5135200</v>
      </c>
      <c r="E19" s="240">
        <f t="shared" si="2"/>
        <v>1180.03</v>
      </c>
      <c r="F19" s="243">
        <v>0</v>
      </c>
      <c r="G19" s="4">
        <f t="shared" si="0"/>
        <v>55461635.119999997</v>
      </c>
      <c r="H19" s="3">
        <f t="shared" si="1"/>
        <v>-1080.03</v>
      </c>
    </row>
    <row r="20" spans="1:8" ht="45">
      <c r="A20" s="193">
        <v>624</v>
      </c>
      <c r="B20" s="242" t="s">
        <v>40</v>
      </c>
      <c r="C20" s="235">
        <v>1227650.3400000001</v>
      </c>
      <c r="D20" s="235">
        <v>119490</v>
      </c>
      <c r="E20" s="240">
        <f t="shared" si="2"/>
        <v>1027.4100000000001</v>
      </c>
      <c r="F20" s="241">
        <v>0</v>
      </c>
      <c r="G20" s="4">
        <f t="shared" si="0"/>
        <v>1108160.3400000001</v>
      </c>
      <c r="H20" s="3">
        <f t="shared" si="1"/>
        <v>-927.41000000000008</v>
      </c>
    </row>
    <row r="21" spans="1:8" ht="30">
      <c r="A21" s="193">
        <v>643</v>
      </c>
      <c r="B21" s="242" t="s">
        <v>52</v>
      </c>
      <c r="C21" s="236">
        <v>0</v>
      </c>
      <c r="D21" s="235">
        <v>10000</v>
      </c>
      <c r="E21" s="237">
        <f t="shared" si="2"/>
        <v>0</v>
      </c>
      <c r="F21" s="245">
        <v>0</v>
      </c>
      <c r="G21" s="4">
        <f t="shared" si="0"/>
        <v>-10000</v>
      </c>
      <c r="H21" s="3">
        <f t="shared" si="1"/>
        <v>100</v>
      </c>
    </row>
    <row r="22" spans="1:8">
      <c r="A22" s="221"/>
      <c r="B22" s="221"/>
      <c r="C22" s="187"/>
      <c r="D22" s="187"/>
      <c r="G22" s="4"/>
    </row>
    <row r="23" spans="1:8">
      <c r="A23" s="221"/>
      <c r="B23" s="221" t="s">
        <v>23</v>
      </c>
      <c r="C23" s="188"/>
      <c r="D23" s="188"/>
      <c r="E23" s="137">
        <f>ROUND(E22/14,2)</f>
        <v>0</v>
      </c>
      <c r="F23" s="246">
        <v>19</v>
      </c>
    </row>
    <row r="24" spans="1:8">
      <c r="A24" s="221"/>
      <c r="B24" s="225" t="s">
        <v>24</v>
      </c>
      <c r="C24" s="228">
        <f>SUM(C6:C21)</f>
        <v>858913526.34000003</v>
      </c>
      <c r="D24" s="228">
        <f>SUM(D6:D21)</f>
        <v>691134524.54000008</v>
      </c>
      <c r="E24" s="137">
        <f t="shared" ref="E24:E25" si="3">ROUND((C24-D24)/C24*100,2)</f>
        <v>19.53</v>
      </c>
      <c r="F24" s="247">
        <v>1.46</v>
      </c>
      <c r="G24" s="4"/>
    </row>
    <row r="25" spans="1:8">
      <c r="C25" s="228">
        <f>SUM(C6:C21)</f>
        <v>858913526.34000003</v>
      </c>
      <c r="D25" s="228">
        <f>SUM(D6:D21)</f>
        <v>691134524.54000008</v>
      </c>
      <c r="E25" s="137">
        <f t="shared" si="3"/>
        <v>19.53</v>
      </c>
      <c r="G25" s="4"/>
    </row>
  </sheetData>
  <sheetProtection formatCells="0" formatColumns="0" formatRows="0" insertColumns="0" insertRows="0" insertHyperlinks="0" deleteColumns="0" deleteRows="0" sort="0" autoFilter="0" pivotTables="0"/>
  <sortState ref="A6:G19">
    <sortCondition ref="A6"/>
  </sortState>
  <mergeCells count="2">
    <mergeCell ref="A1:F1"/>
    <mergeCell ref="A2:F2"/>
  </mergeCells>
  <pageMargins left="0.35433070866141736" right="0.19685039370078738" top="0.74803149606299213" bottom="0.74803149606299213" header="0.31496062992125984" footer="0.31496062992125984"/>
  <pageSetup paperSize="9" scale="73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1">
    <tabColor rgb="FF00B050"/>
  </sheetPr>
  <dimension ref="A1:N27"/>
  <sheetViews>
    <sheetView topLeftCell="A12" workbookViewId="0">
      <selection activeCell="H21" sqref="H21"/>
    </sheetView>
  </sheetViews>
  <sheetFormatPr defaultColWidth="9.140625" defaultRowHeight="15"/>
  <cols>
    <col min="1" max="1" width="8.42578125" style="46" customWidth="1"/>
    <col min="2" max="2" width="41.140625" style="3" customWidth="1"/>
    <col min="3" max="3" width="18.85546875" style="3" customWidth="1"/>
    <col min="4" max="4" width="20" style="3" customWidth="1"/>
    <col min="5" max="5" width="20.28515625" style="3" customWidth="1"/>
    <col min="6" max="6" width="23.5703125" style="3" customWidth="1"/>
    <col min="7" max="7" width="20.140625" style="3" customWidth="1"/>
    <col min="8" max="8" width="13.140625" style="3" customWidth="1"/>
    <col min="9" max="9" width="17.85546875" style="3" customWidth="1"/>
    <col min="10" max="10" width="29.5703125" style="3" customWidth="1"/>
    <col min="11" max="11" width="9.140625" style="3"/>
    <col min="12" max="12" width="15.85546875" style="3" bestFit="1" customWidth="1"/>
    <col min="13" max="13" width="9.140625" style="3"/>
    <col min="14" max="14" width="13.28515625" style="3" bestFit="1" customWidth="1"/>
    <col min="15" max="16384" width="9.140625" style="3"/>
  </cols>
  <sheetData>
    <row r="1" spans="1:14" s="178" customFormat="1" ht="20.25">
      <c r="A1" s="447" t="s">
        <v>107</v>
      </c>
      <c r="B1" s="447"/>
      <c r="C1" s="447"/>
      <c r="D1" s="447"/>
      <c r="E1" s="447"/>
      <c r="F1" s="447"/>
      <c r="G1" s="447"/>
      <c r="H1" s="447"/>
    </row>
    <row r="2" spans="1:14" ht="19.5">
      <c r="A2" s="448" t="s">
        <v>162</v>
      </c>
      <c r="B2" s="448"/>
      <c r="C2" s="448"/>
      <c r="D2" s="448"/>
      <c r="E2" s="448"/>
      <c r="F2" s="448"/>
      <c r="G2" s="448"/>
      <c r="H2" s="448"/>
    </row>
    <row r="3" spans="1:14">
      <c r="J3" s="3">
        <v>15</v>
      </c>
    </row>
    <row r="4" spans="1:14">
      <c r="H4" s="181" t="s">
        <v>134</v>
      </c>
    </row>
    <row r="5" spans="1:14" ht="107.25" customHeight="1">
      <c r="A5" s="47" t="s">
        <v>35</v>
      </c>
      <c r="B5" s="47" t="s">
        <v>2</v>
      </c>
      <c r="C5" s="248" t="s">
        <v>163</v>
      </c>
      <c r="D5" s="47" t="s">
        <v>164</v>
      </c>
      <c r="E5" s="47" t="s">
        <v>165</v>
      </c>
      <c r="F5" s="47" t="s">
        <v>166</v>
      </c>
      <c r="G5" s="47" t="s">
        <v>167</v>
      </c>
      <c r="H5" s="47" t="s">
        <v>139</v>
      </c>
      <c r="J5" s="46" t="s">
        <v>168</v>
      </c>
    </row>
    <row r="6" spans="1:14">
      <c r="A6" s="193">
        <v>600</v>
      </c>
      <c r="B6" s="193" t="s">
        <v>51</v>
      </c>
      <c r="C6" s="249">
        <v>55925104.170000002</v>
      </c>
      <c r="D6" s="249">
        <v>38995288.07</v>
      </c>
      <c r="E6" s="249">
        <f t="shared" ref="E6:E21" si="0">C6-D6</f>
        <v>16929816.100000001</v>
      </c>
      <c r="F6" s="250">
        <f t="shared" ref="F6:F21" si="1">ROUND(D6/3,2)</f>
        <v>12998429.359999999</v>
      </c>
      <c r="G6" s="251">
        <f t="shared" ref="G6:G12" si="2">ROUND((E6-F6)/F6*100,2)</f>
        <v>30.25</v>
      </c>
      <c r="H6" s="196">
        <f>VALUE(LEFT(I6,1))</f>
        <v>4</v>
      </c>
      <c r="I6" s="162" t="str">
        <f>LOOKUP(G6,{0,1,10,24.99,25,30,39.99,40,50,59.99,60,70,79.99,80,90,99.99,100},{"5+","5","5-","4+","4","4-","3+","3","3-","2+","2","2-","1+","1","1-","0"})</f>
        <v>4-</v>
      </c>
      <c r="J6" s="252">
        <f t="shared" ref="J6:J21" si="3">E6-F6</f>
        <v>3931386.7400000021</v>
      </c>
    </row>
    <row r="7" spans="1:14">
      <c r="A7" s="193">
        <v>601</v>
      </c>
      <c r="B7" s="193" t="s">
        <v>13</v>
      </c>
      <c r="C7" s="249">
        <v>337439276.83999997</v>
      </c>
      <c r="D7" s="249">
        <v>258256807.25999999</v>
      </c>
      <c r="E7" s="249">
        <f t="shared" si="0"/>
        <v>79182469.579999983</v>
      </c>
      <c r="F7" s="250">
        <f t="shared" si="1"/>
        <v>86085602.420000002</v>
      </c>
      <c r="G7" s="251">
        <f t="shared" si="2"/>
        <v>-8.02</v>
      </c>
      <c r="H7" s="196">
        <v>5</v>
      </c>
      <c r="I7" s="162" t="e">
        <f>LOOKUP(G7,{0,1,10,24.99,25,30,39.99,40,50,59.99,60,70,79.99,80,90,99.99,100},{"5+","5","5-","4+","4","4-","3+","3","3-","2+","2","2-","1+","1","1-","0"})</f>
        <v>#N/A</v>
      </c>
      <c r="J7" s="252">
        <f t="shared" si="3"/>
        <v>-6903132.8400000185</v>
      </c>
      <c r="K7" s="208">
        <f t="shared" ref="K7:K12" si="4">C7-J7</f>
        <v>344342409.68000001</v>
      </c>
      <c r="L7" s="208">
        <f t="shared" ref="L7:L12" si="5">E7+D7-C7</f>
        <v>0</v>
      </c>
      <c r="N7" s="208">
        <f t="shared" ref="N7:N20" si="6">C7-D7-E7</f>
        <v>0</v>
      </c>
    </row>
    <row r="8" spans="1:14" ht="30">
      <c r="A8" s="193">
        <v>602</v>
      </c>
      <c r="B8" s="193" t="s">
        <v>53</v>
      </c>
      <c r="C8" s="249">
        <v>221310168.77000001</v>
      </c>
      <c r="D8" s="249">
        <v>144039683.97</v>
      </c>
      <c r="E8" s="249">
        <f t="shared" si="0"/>
        <v>77270484.800000012</v>
      </c>
      <c r="F8" s="250">
        <f t="shared" si="1"/>
        <v>48013227.990000002</v>
      </c>
      <c r="G8" s="251">
        <f t="shared" si="2"/>
        <v>60.94</v>
      </c>
      <c r="H8" s="196">
        <f t="shared" ref="H8:H21" si="7">VALUE(LEFT(I8,1))</f>
        <v>2</v>
      </c>
      <c r="I8" s="162" t="str">
        <f>LOOKUP(G8,{0,1,10,24.99,25,30,39.99,40,50,59.99,60,70,79.99,80,90,99.99,100},{"5+","5","5-","4+","4","4-","3+","3","3-","2+","2","2-","1+","1","1-","0"})</f>
        <v>2</v>
      </c>
      <c r="J8" s="252">
        <f t="shared" si="3"/>
        <v>29257256.81000001</v>
      </c>
      <c r="K8" s="208">
        <f t="shared" si="4"/>
        <v>192052911.96000001</v>
      </c>
      <c r="L8" s="208">
        <f t="shared" si="5"/>
        <v>0</v>
      </c>
      <c r="N8" s="208">
        <f t="shared" si="6"/>
        <v>0</v>
      </c>
    </row>
    <row r="9" spans="1:14" ht="30">
      <c r="A9" s="193">
        <v>604</v>
      </c>
      <c r="B9" s="193" t="s">
        <v>49</v>
      </c>
      <c r="C9" s="249">
        <v>160093193.28999999</v>
      </c>
      <c r="D9" s="249">
        <v>117162785.7</v>
      </c>
      <c r="E9" s="249">
        <f t="shared" si="0"/>
        <v>42930407.589999989</v>
      </c>
      <c r="F9" s="250">
        <f t="shared" si="1"/>
        <v>39054261.899999999</v>
      </c>
      <c r="G9" s="251">
        <f t="shared" si="2"/>
        <v>9.93</v>
      </c>
      <c r="H9" s="196">
        <f t="shared" si="7"/>
        <v>5</v>
      </c>
      <c r="I9" s="253" t="str">
        <f>LOOKUP(G9,{0,1,10,24.99,25,30,39.99,40,50,59.99,60,70,79.99,80,90,99.99,100},{"5+","5","5-","4+","4","4-","3+","3","3-","2+","2","2-","1+","1","1-","0"})</f>
        <v>5</v>
      </c>
      <c r="J9" s="252">
        <f t="shared" si="3"/>
        <v>3876145.6899999902</v>
      </c>
      <c r="K9" s="208">
        <f t="shared" si="4"/>
        <v>156217047.59999999</v>
      </c>
      <c r="L9" s="208">
        <f t="shared" si="5"/>
        <v>0</v>
      </c>
      <c r="N9" s="208">
        <f t="shared" si="6"/>
        <v>0</v>
      </c>
    </row>
    <row r="10" spans="1:14" ht="45">
      <c r="A10" s="193">
        <v>605</v>
      </c>
      <c r="B10" s="193" t="s">
        <v>45</v>
      </c>
      <c r="C10" s="249">
        <v>200917806.00999999</v>
      </c>
      <c r="D10" s="249">
        <v>126443476.45999999</v>
      </c>
      <c r="E10" s="249">
        <f t="shared" si="0"/>
        <v>74474329.549999997</v>
      </c>
      <c r="F10" s="250">
        <f t="shared" si="1"/>
        <v>42147825.490000002</v>
      </c>
      <c r="G10" s="251">
        <f t="shared" si="2"/>
        <v>76.7</v>
      </c>
      <c r="H10" s="196">
        <f t="shared" si="7"/>
        <v>2</v>
      </c>
      <c r="I10" s="162" t="str">
        <f>LOOKUP(G10,{0,1,10,24.99,25,30,39.99,40,50,59.99,60,70,79.99,80,90,99.99,100},{"5+","5","5-","4+","4","4-","3+","3","3-","2+","2","2-","1+","1","1-","0"})</f>
        <v>2-</v>
      </c>
      <c r="J10" s="252">
        <f t="shared" si="3"/>
        <v>32326504.059999995</v>
      </c>
      <c r="K10" s="208">
        <f t="shared" si="4"/>
        <v>168591301.94999999</v>
      </c>
      <c r="L10" s="208">
        <f t="shared" si="5"/>
        <v>0</v>
      </c>
      <c r="N10" s="208">
        <f t="shared" si="6"/>
        <v>0</v>
      </c>
    </row>
    <row r="11" spans="1:14" ht="30">
      <c r="A11" s="193">
        <v>606</v>
      </c>
      <c r="B11" s="193" t="s">
        <v>46</v>
      </c>
      <c r="C11" s="249">
        <v>6238168462.9499998</v>
      </c>
      <c r="D11" s="249">
        <v>3931457380.7800002</v>
      </c>
      <c r="E11" s="249">
        <f t="shared" si="0"/>
        <v>2306711082.1699996</v>
      </c>
      <c r="F11" s="250">
        <f t="shared" si="1"/>
        <v>1310485793.5899999</v>
      </c>
      <c r="G11" s="251">
        <f t="shared" si="2"/>
        <v>76.02</v>
      </c>
      <c r="H11" s="196">
        <f t="shared" si="7"/>
        <v>2</v>
      </c>
      <c r="I11" s="162" t="str">
        <f>LOOKUP(G11,{0,1,10,24.99,25,30,39.99,40,50,59.99,60,70,79.99,80,90,99.99,100},{"5+","5","5-","4+","4","4-","3+","3","3-","2+","2","2-","1+","1","1-","0"})</f>
        <v>2-</v>
      </c>
      <c r="J11" s="252">
        <f t="shared" si="3"/>
        <v>996225288.57999969</v>
      </c>
      <c r="K11" s="208">
        <f t="shared" si="4"/>
        <v>5241943174.3699999</v>
      </c>
      <c r="L11" s="208">
        <f t="shared" si="5"/>
        <v>0</v>
      </c>
      <c r="N11" s="208">
        <f t="shared" si="6"/>
        <v>0</v>
      </c>
    </row>
    <row r="12" spans="1:14" ht="30">
      <c r="A12" s="193">
        <v>607</v>
      </c>
      <c r="B12" s="193" t="s">
        <v>50</v>
      </c>
      <c r="C12" s="249">
        <v>771344610.74000001</v>
      </c>
      <c r="D12" s="249">
        <v>487997374.86000001</v>
      </c>
      <c r="E12" s="249">
        <f t="shared" si="0"/>
        <v>283347235.88</v>
      </c>
      <c r="F12" s="250">
        <f t="shared" si="1"/>
        <v>162665791.62</v>
      </c>
      <c r="G12" s="251">
        <f t="shared" si="2"/>
        <v>74.19</v>
      </c>
      <c r="H12" s="196">
        <f t="shared" si="7"/>
        <v>2</v>
      </c>
      <c r="I12" s="162" t="str">
        <f>LOOKUP(G12,{0,1,10,24.99,25,30,39.99,40,50,59.99,60,70,79.99,80,90,99.99,100,140,200,750,779,800},{"5+","5","5-","4+","4","4-","3+","3","3-","2+","2","2-","1+","1","1-","0+","0","0-"})</f>
        <v>2-</v>
      </c>
      <c r="J12" s="252">
        <f t="shared" si="3"/>
        <v>120681444.25999999</v>
      </c>
      <c r="K12" s="208">
        <f t="shared" si="4"/>
        <v>650663166.48000002</v>
      </c>
      <c r="L12" s="208">
        <f t="shared" si="5"/>
        <v>0</v>
      </c>
      <c r="N12" s="208">
        <f t="shared" si="6"/>
        <v>0</v>
      </c>
    </row>
    <row r="13" spans="1:14" ht="45">
      <c r="A13" s="219">
        <v>609</v>
      </c>
      <c r="B13" s="219" t="s">
        <v>37</v>
      </c>
      <c r="C13" s="249">
        <v>4027776522.8400002</v>
      </c>
      <c r="D13" s="249">
        <v>2986439015.5599999</v>
      </c>
      <c r="E13" s="249">
        <f t="shared" si="0"/>
        <v>1041337507.2800002</v>
      </c>
      <c r="F13" s="250">
        <f t="shared" si="1"/>
        <v>995479671.85000002</v>
      </c>
      <c r="G13" s="251">
        <f>ROUND(ABS((E13-F13))/F13*100,2)</f>
        <v>4.6100000000000003</v>
      </c>
      <c r="H13" s="201">
        <v>5</v>
      </c>
      <c r="I13" s="254" t="str">
        <f>LOOKUP(G13,{0,1,10,24.99,25,30,39.99,40,50,59.99,60,70,79.99,80,90,99.99,100,140,750},{"5+","5","5-","4+","4","4-","3+","3","3-","2+","2","2-","1+","1","1-","0","0-"})</f>
        <v>5</v>
      </c>
      <c r="J13" s="252">
        <f t="shared" si="3"/>
        <v>45857835.430000186</v>
      </c>
      <c r="K13" s="208"/>
      <c r="N13" s="208">
        <f t="shared" si="6"/>
        <v>0</v>
      </c>
    </row>
    <row r="14" spans="1:14" ht="30">
      <c r="A14" s="193">
        <v>611</v>
      </c>
      <c r="B14" s="193" t="s">
        <v>47</v>
      </c>
      <c r="C14" s="249">
        <v>271597087.63999999</v>
      </c>
      <c r="D14" s="249">
        <v>183079453.30000001</v>
      </c>
      <c r="E14" s="249">
        <f t="shared" si="0"/>
        <v>88517634.339999974</v>
      </c>
      <c r="F14" s="250">
        <f t="shared" si="1"/>
        <v>61026484.43</v>
      </c>
      <c r="G14" s="251">
        <f t="shared" ref="G14:G21" si="8">ROUND((E14-F14)/F14*100,2)</f>
        <v>45.05</v>
      </c>
      <c r="H14" s="196">
        <f t="shared" si="7"/>
        <v>3</v>
      </c>
      <c r="I14" s="162" t="str">
        <f>LOOKUP(G14,{0,1,10,24.99,25,30,39.99,40,50,59.99,60,70,79.99,80,90,99.99,100,140,750},{"5+","5","5-","4+","4","4-","3+","3","3-","2+","2","2-","1+","1","1-","0","0-"})</f>
        <v>3</v>
      </c>
      <c r="J14" s="252">
        <f t="shared" si="3"/>
        <v>27491149.909999974</v>
      </c>
      <c r="K14" s="208">
        <f t="shared" ref="K14:K20" si="9">C14-J14</f>
        <v>244105937.73000002</v>
      </c>
      <c r="L14" s="208">
        <f t="shared" ref="L14:L20" si="10">E14+D14-C14</f>
        <v>0</v>
      </c>
      <c r="N14" s="208">
        <f t="shared" si="6"/>
        <v>0</v>
      </c>
    </row>
    <row r="15" spans="1:14" ht="30">
      <c r="A15" s="193">
        <v>617</v>
      </c>
      <c r="B15" s="193" t="s">
        <v>42</v>
      </c>
      <c r="C15" s="249">
        <v>220617806.47</v>
      </c>
      <c r="D15" s="249">
        <v>167681325.91999999</v>
      </c>
      <c r="E15" s="249">
        <f t="shared" si="0"/>
        <v>52936480.550000012</v>
      </c>
      <c r="F15" s="250">
        <f t="shared" si="1"/>
        <v>55893775.310000002</v>
      </c>
      <c r="G15" s="251">
        <f t="shared" si="8"/>
        <v>-5.29</v>
      </c>
      <c r="H15" s="196">
        <v>5</v>
      </c>
      <c r="I15" s="162" t="e">
        <f>LOOKUP(G15,{0,1,10,24.99,25,30,39.99,40,50,59.99,60,70,79.99,80,90,99.99,100,140,750},{"5+","5","5-","4+","4","4-","3+","3","3-","2+","2","2-","1+","1","1-","0","0-"})</f>
        <v>#N/A</v>
      </c>
      <c r="J15" s="252">
        <f t="shared" si="3"/>
        <v>-2957294.7599999905</v>
      </c>
      <c r="K15" s="208">
        <f t="shared" si="9"/>
        <v>223575101.22999999</v>
      </c>
      <c r="L15" s="208">
        <f t="shared" si="10"/>
        <v>0</v>
      </c>
      <c r="N15" s="208">
        <f t="shared" si="6"/>
        <v>0</v>
      </c>
    </row>
    <row r="16" spans="1:14" ht="30">
      <c r="A16" s="193">
        <v>618</v>
      </c>
      <c r="B16" s="193" t="s">
        <v>38</v>
      </c>
      <c r="C16" s="249">
        <v>223307954.18000001</v>
      </c>
      <c r="D16" s="249">
        <v>166817968.56999999</v>
      </c>
      <c r="E16" s="249">
        <f t="shared" si="0"/>
        <v>56489985.610000014</v>
      </c>
      <c r="F16" s="250">
        <f t="shared" si="1"/>
        <v>55605989.520000003</v>
      </c>
      <c r="G16" s="251">
        <f t="shared" si="8"/>
        <v>1.59</v>
      </c>
      <c r="H16" s="196">
        <f t="shared" si="7"/>
        <v>5</v>
      </c>
      <c r="I16" s="162" t="str">
        <f>LOOKUP(G16,{0,1,10,24.99,25,30,39.99,40,50,59.99,60,70,79.99,80,90,99.99,100,140,750},{"5+","5","5-","4+","4","4-","3+","3","3-","2+","2","2-","1+","1","1-","0","0-"})</f>
        <v>5</v>
      </c>
      <c r="J16" s="252">
        <f t="shared" si="3"/>
        <v>883996.09000001103</v>
      </c>
      <c r="K16" s="208">
        <f t="shared" si="9"/>
        <v>222423958.09</v>
      </c>
      <c r="L16" s="208">
        <f t="shared" si="10"/>
        <v>0</v>
      </c>
      <c r="N16" s="208">
        <f t="shared" si="6"/>
        <v>0</v>
      </c>
    </row>
    <row r="17" spans="1:14" ht="30">
      <c r="A17" s="193">
        <v>619</v>
      </c>
      <c r="B17" s="193" t="s">
        <v>44</v>
      </c>
      <c r="C17" s="249">
        <v>363189849.58999997</v>
      </c>
      <c r="D17" s="249">
        <v>262358059.44999999</v>
      </c>
      <c r="E17" s="249">
        <f t="shared" si="0"/>
        <v>100831790.13999999</v>
      </c>
      <c r="F17" s="250">
        <f t="shared" si="1"/>
        <v>87452686.480000004</v>
      </c>
      <c r="G17" s="251">
        <f t="shared" si="8"/>
        <v>15.3</v>
      </c>
      <c r="H17" s="196">
        <f t="shared" si="7"/>
        <v>5</v>
      </c>
      <c r="I17" s="162" t="str">
        <f>LOOKUP(G17,{0,1,10,24.99,25,30,39.99,40,50,59.99,60,70,79.99,80,90,99.99,100,140,750},{"5+","5","5-","4+","4","4-","3+","3","3-","2+","2","2-","1+","1","1-","0","0-"})</f>
        <v>5-</v>
      </c>
      <c r="J17" s="252">
        <f t="shared" si="3"/>
        <v>13379103.659999982</v>
      </c>
      <c r="K17" s="208">
        <f t="shared" si="9"/>
        <v>349810745.93000001</v>
      </c>
      <c r="L17" s="208">
        <f t="shared" si="10"/>
        <v>0</v>
      </c>
      <c r="N17" s="208">
        <f t="shared" si="6"/>
        <v>0</v>
      </c>
    </row>
    <row r="18" spans="1:14" ht="30">
      <c r="A18" s="193">
        <v>620</v>
      </c>
      <c r="B18" s="193" t="s">
        <v>48</v>
      </c>
      <c r="C18" s="249">
        <v>1961958975.5799999</v>
      </c>
      <c r="D18" s="249">
        <v>1487121028.5999999</v>
      </c>
      <c r="E18" s="249">
        <f t="shared" si="0"/>
        <v>474837946.98000002</v>
      </c>
      <c r="F18" s="250">
        <f t="shared" si="1"/>
        <v>495707009.52999997</v>
      </c>
      <c r="G18" s="251">
        <f t="shared" si="8"/>
        <v>-4.21</v>
      </c>
      <c r="H18" s="196">
        <v>5</v>
      </c>
      <c r="I18" s="162" t="e">
        <f>LOOKUP(G18,{0,1,10,24.99,25,30,39.99,40,50,59.99,60,70,79.99,80,90,99.99,100,140,750},{"5+","5","5-","4+","4","4-","3+","3","3-","2+","2","2-","1+","1","1-","0","0-"})</f>
        <v>#N/A</v>
      </c>
      <c r="J18" s="252">
        <f t="shared" si="3"/>
        <v>-20869062.549999952</v>
      </c>
      <c r="K18" s="208">
        <f t="shared" si="9"/>
        <v>1982828038.1299999</v>
      </c>
      <c r="L18" s="208">
        <f t="shared" si="10"/>
        <v>0</v>
      </c>
      <c r="N18" s="208">
        <f t="shared" si="6"/>
        <v>0</v>
      </c>
    </row>
    <row r="19" spans="1:14" ht="30">
      <c r="A19" s="193">
        <v>621</v>
      </c>
      <c r="B19" s="193" t="s">
        <v>54</v>
      </c>
      <c r="C19" s="249">
        <v>2489659692.73</v>
      </c>
      <c r="D19" s="249">
        <v>1252099786.52</v>
      </c>
      <c r="E19" s="249">
        <f t="shared" si="0"/>
        <v>1237559906.21</v>
      </c>
      <c r="F19" s="250">
        <f t="shared" si="1"/>
        <v>417366595.50999999</v>
      </c>
      <c r="G19" s="251">
        <f t="shared" si="8"/>
        <v>196.52</v>
      </c>
      <c r="H19" s="201">
        <v>0</v>
      </c>
      <c r="I19" s="162" t="str">
        <f>LOOKUP(G19,{0,1,10,24.99,25,30,39.99,40,50,59.99,60,70,79.99,80,90,99.99,100,773,779,800},{"5+","5","5-","4+","4","4-","3+","3","3-","2+","2","2-","1+","1","1-","0+","0","0-"})</f>
        <v>0</v>
      </c>
      <c r="J19" s="252">
        <f t="shared" si="3"/>
        <v>820193310.70000005</v>
      </c>
      <c r="K19" s="208">
        <f t="shared" si="9"/>
        <v>1669466382.03</v>
      </c>
      <c r="L19" s="208">
        <f t="shared" si="10"/>
        <v>0</v>
      </c>
      <c r="N19" s="208">
        <f t="shared" si="6"/>
        <v>0</v>
      </c>
    </row>
    <row r="20" spans="1:14" ht="45">
      <c r="A20" s="242">
        <v>624</v>
      </c>
      <c r="B20" s="193" t="s">
        <v>40</v>
      </c>
      <c r="C20" s="249">
        <v>129450332.72</v>
      </c>
      <c r="D20" s="249">
        <v>82383432.370000005</v>
      </c>
      <c r="E20" s="249">
        <f t="shared" si="0"/>
        <v>47066900.349999994</v>
      </c>
      <c r="F20" s="250">
        <f t="shared" si="1"/>
        <v>27461144.120000001</v>
      </c>
      <c r="G20" s="251">
        <f t="shared" si="8"/>
        <v>71.39</v>
      </c>
      <c r="H20" s="196">
        <f t="shared" si="7"/>
        <v>2</v>
      </c>
      <c r="I20" s="162" t="str">
        <f>LOOKUP(G20,{0,1,10,24.99,25,30,39.99,40,50,59.99,60,70,79.99,80,90,99.99,100},{"5+","5","5-","4+","4","4-","3+","3","3-","2+","2","2-","1+","1","1-","0"})</f>
        <v>2-</v>
      </c>
      <c r="J20" s="252">
        <f t="shared" si="3"/>
        <v>19605756.229999993</v>
      </c>
      <c r="K20" s="208">
        <f t="shared" si="9"/>
        <v>109844576.49000001</v>
      </c>
      <c r="L20" s="208">
        <f t="shared" si="10"/>
        <v>0</v>
      </c>
      <c r="N20" s="208">
        <f t="shared" si="6"/>
        <v>0</v>
      </c>
    </row>
    <row r="21" spans="1:14" ht="30">
      <c r="A21" s="193">
        <v>643</v>
      </c>
      <c r="B21" s="193" t="s">
        <v>169</v>
      </c>
      <c r="C21" s="249">
        <v>25334489.190000001</v>
      </c>
      <c r="D21" s="249">
        <v>15905798.630000001</v>
      </c>
      <c r="E21" s="249">
        <f t="shared" si="0"/>
        <v>9428690.5600000005</v>
      </c>
      <c r="F21" s="250">
        <f t="shared" si="1"/>
        <v>5301932.88</v>
      </c>
      <c r="G21" s="251">
        <f t="shared" si="8"/>
        <v>77.83</v>
      </c>
      <c r="H21" s="196">
        <f t="shared" si="7"/>
        <v>2</v>
      </c>
      <c r="I21" s="162" t="str">
        <f>LOOKUP(G21,{0,1,10,24.99,25,30,39.99,40,50,59.99,60,70,79.99,80,90,99.99,100},{"5+","5","5-","4+","4","4-","3+","3","3-","2+","2","2-","1+","1","1-","0"})</f>
        <v>2-</v>
      </c>
      <c r="J21" s="252">
        <f t="shared" si="3"/>
        <v>4126757.6800000006</v>
      </c>
      <c r="K21" s="208"/>
      <c r="L21" s="208"/>
      <c r="N21" s="208"/>
    </row>
    <row r="22" spans="1:14">
      <c r="A22" s="255"/>
      <c r="B22" s="255"/>
      <c r="C22" s="256"/>
      <c r="D22" s="256"/>
      <c r="E22" s="256"/>
      <c r="F22" s="256"/>
      <c r="G22" s="39"/>
      <c r="H22" s="39"/>
      <c r="J22" s="257"/>
      <c r="K22" s="208"/>
      <c r="L22" s="208"/>
    </row>
    <row r="23" spans="1:14">
      <c r="A23" s="51"/>
      <c r="B23" s="51" t="s">
        <v>23</v>
      </c>
      <c r="C23" s="258"/>
      <c r="D23" s="258"/>
      <c r="E23" s="189"/>
      <c r="F23" s="189"/>
      <c r="G23" s="3">
        <f>SUBTOTAL(9,G7:G20)</f>
        <v>614.72</v>
      </c>
      <c r="J23" s="257"/>
      <c r="K23" s="208"/>
    </row>
    <row r="24" spans="1:14">
      <c r="A24" s="51"/>
      <c r="B24" s="54" t="s">
        <v>24</v>
      </c>
      <c r="C24" s="258"/>
      <c r="D24" s="258"/>
      <c r="E24" s="189"/>
      <c r="F24" s="189"/>
      <c r="G24" s="137">
        <f>ROUND(G23/16,2)</f>
        <v>38.42</v>
      </c>
      <c r="J24" s="257"/>
      <c r="K24" s="208"/>
    </row>
    <row r="25" spans="1:14">
      <c r="A25" s="51"/>
      <c r="B25" s="51"/>
      <c r="C25" s="258"/>
      <c r="D25" s="258"/>
      <c r="E25" s="189"/>
      <c r="F25" s="189"/>
      <c r="J25" s="257"/>
      <c r="K25" s="208"/>
    </row>
    <row r="26" spans="1:14">
      <c r="C26" s="4">
        <f>SUM(C7:C19)</f>
        <v>17487381407.629997</v>
      </c>
      <c r="D26" s="4">
        <f>SUM(D7:D19)</f>
        <v>11570954146.950001</v>
      </c>
      <c r="E26" s="4">
        <f>SUM(E7:E19)</f>
        <v>5916427260.6800003</v>
      </c>
      <c r="F26" s="4">
        <f>SUM(F7:F19)</f>
        <v>3856984715.6399994</v>
      </c>
    </row>
    <row r="27" spans="1:14">
      <c r="C27" s="259">
        <v>10455089576.98</v>
      </c>
      <c r="D27" s="259">
        <v>6516825521.2599993</v>
      </c>
      <c r="E27" s="259">
        <v>3938264055.7199993</v>
      </c>
      <c r="F27" s="260">
        <f>ROUND(D27/3,2)</f>
        <v>2172275173.75</v>
      </c>
    </row>
  </sheetData>
  <sheetProtection formatCells="0" formatColumns="0" formatRows="0" insertColumns="0" insertRows="0" insertHyperlinks="0" deleteColumns="0" deleteRows="0" sort="0" autoFilter="0" pivotTables="0"/>
  <autoFilter ref="A4:L20"/>
  <sortState ref="A7:L22">
    <sortCondition ref="A6"/>
  </sortState>
  <mergeCells count="2">
    <mergeCell ref="A1:H1"/>
    <mergeCell ref="A2:H2"/>
  </mergeCells>
  <pageMargins left="0.27559055118110237" right="0.19685039370078738" top="0.43307086614173229" bottom="0.43307086614173229" header="0.23622047244094491" footer="0.31496062992125984"/>
  <pageSetup paperSize="9" scale="6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4">
    <tabColor rgb="FF00B050"/>
  </sheetPr>
  <dimension ref="A1:H27"/>
  <sheetViews>
    <sheetView topLeftCell="A13" workbookViewId="0">
      <selection activeCell="B23" sqref="B23:E24"/>
    </sheetView>
  </sheetViews>
  <sheetFormatPr defaultColWidth="9.140625" defaultRowHeight="15"/>
  <cols>
    <col min="1" max="1" width="8.42578125" style="46" customWidth="1"/>
    <col min="2" max="2" width="41.140625" style="3" customWidth="1"/>
    <col min="3" max="3" width="20.28515625" style="3" customWidth="1"/>
    <col min="4" max="4" width="23.5703125" style="3" customWidth="1"/>
    <col min="5" max="5" width="21.5703125" style="3" customWidth="1"/>
    <col min="6" max="6" width="13.140625" style="3" customWidth="1"/>
    <col min="7" max="7" width="9.140625" style="3"/>
    <col min="8" max="8" width="44.85546875" style="3" customWidth="1"/>
    <col min="9" max="16384" width="9.140625" style="3"/>
  </cols>
  <sheetData>
    <row r="1" spans="1:8" s="178" customFormat="1" ht="20.25" customHeight="1">
      <c r="A1" s="447" t="s">
        <v>107</v>
      </c>
      <c r="B1" s="447"/>
      <c r="C1" s="447"/>
      <c r="D1" s="447"/>
      <c r="E1" s="447"/>
      <c r="F1" s="447"/>
      <c r="G1" s="209"/>
      <c r="H1" s="209"/>
    </row>
    <row r="2" spans="1:8" ht="43.9" customHeight="1">
      <c r="A2" s="448" t="s">
        <v>170</v>
      </c>
      <c r="B2" s="448"/>
      <c r="C2" s="448"/>
      <c r="D2" s="448"/>
      <c r="E2" s="448"/>
      <c r="F2" s="448"/>
    </row>
    <row r="3" spans="1:8">
      <c r="D3" s="46"/>
    </row>
    <row r="4" spans="1:8">
      <c r="F4" s="181" t="s">
        <v>134</v>
      </c>
      <c r="H4" s="3">
        <v>10</v>
      </c>
    </row>
    <row r="5" spans="1:8" ht="141" customHeight="1">
      <c r="A5" s="47" t="s">
        <v>35</v>
      </c>
      <c r="B5" s="47" t="s">
        <v>2</v>
      </c>
      <c r="C5" s="47" t="s">
        <v>171</v>
      </c>
      <c r="D5" s="47" t="s">
        <v>172</v>
      </c>
      <c r="E5" s="47" t="s">
        <v>173</v>
      </c>
      <c r="F5" s="47" t="s">
        <v>139</v>
      </c>
      <c r="H5" s="46" t="s">
        <v>174</v>
      </c>
    </row>
    <row r="6" spans="1:8">
      <c r="A6" s="84">
        <v>600</v>
      </c>
      <c r="B6" s="261" t="s">
        <v>51</v>
      </c>
      <c r="C6" s="262"/>
      <c r="D6" s="262"/>
      <c r="E6" s="262"/>
      <c r="F6" s="203"/>
    </row>
    <row r="7" spans="1:8">
      <c r="A7" s="219">
        <v>601</v>
      </c>
      <c r="B7" s="219" t="s">
        <v>13</v>
      </c>
      <c r="C7" s="195">
        <v>64433290.57</v>
      </c>
      <c r="D7" s="195">
        <v>64433290.57</v>
      </c>
      <c r="E7" s="201">
        <f t="shared" ref="E7:E20" si="0">ROUND(C7/D7*100,2)</f>
        <v>100</v>
      </c>
      <c r="F7" s="201">
        <f t="shared" ref="F7:F20" si="1">VALUE(LEFT(G7,1))</f>
        <v>5</v>
      </c>
      <c r="G7" s="162" t="str">
        <f>LOOKUP(E7,{0,49.99,50,60,69.99,70,75,79.99,80,85,89.99,90,95,99.99,100,103,107},{"0","1-","1","1+","2-","2","2+","3-","3","3+","4-","4","4+","5-","5","5+"})</f>
        <v>5</v>
      </c>
    </row>
    <row r="8" spans="1:8" ht="30">
      <c r="A8" s="193">
        <v>602</v>
      </c>
      <c r="B8" s="193" t="s">
        <v>53</v>
      </c>
      <c r="C8" s="195">
        <v>102658522.05</v>
      </c>
      <c r="D8" s="195">
        <v>118383669.53</v>
      </c>
      <c r="E8" s="201">
        <f t="shared" si="0"/>
        <v>86.72</v>
      </c>
      <c r="F8" s="201">
        <f t="shared" si="1"/>
        <v>3</v>
      </c>
      <c r="G8" s="162" t="str">
        <f>LOOKUP(E8,{0,49.99,50,60,69.99,70,75,79.99,80,85,89.99,90,95,99.99,100,103,107},{"0","1-","1","1+","2-","2","2+","3-","3","3+","4-","4","4+","5-","5","5+"})</f>
        <v>3+</v>
      </c>
    </row>
    <row r="9" spans="1:8" ht="30">
      <c r="A9" s="193">
        <v>604</v>
      </c>
      <c r="B9" s="193" t="s">
        <v>49</v>
      </c>
      <c r="C9" s="195">
        <v>100354716.40000001</v>
      </c>
      <c r="D9" s="195">
        <v>105368830</v>
      </c>
      <c r="E9" s="201">
        <f t="shared" si="0"/>
        <v>95.24</v>
      </c>
      <c r="F9" s="201">
        <f t="shared" si="1"/>
        <v>4</v>
      </c>
      <c r="G9" s="162" t="str">
        <f>LOOKUP(E9,{0,49.99,50,60,69.99,70,75,79.99,80,85,89.99,90,95,99.99,100,103,107},{"0","1-","1","1+","2-","2","2+","3-","3","3+","4-","4","4+","5-","5","5+"})</f>
        <v>4+</v>
      </c>
    </row>
    <row r="10" spans="1:8" ht="45">
      <c r="A10" s="193">
        <v>605</v>
      </c>
      <c r="B10" s="193" t="s">
        <v>45</v>
      </c>
      <c r="C10" s="195">
        <v>127164976.89</v>
      </c>
      <c r="D10" s="195">
        <v>127169176.83</v>
      </c>
      <c r="E10" s="201">
        <f t="shared" si="0"/>
        <v>100</v>
      </c>
      <c r="F10" s="201">
        <f t="shared" si="1"/>
        <v>5</v>
      </c>
      <c r="G10" s="162" t="str">
        <f>LOOKUP(E10,{0,49.99,50,60,69.99,70,75,79.99,80,85,89.99,90,95,99.99,100,103,107},{"0","1-","1","1+","2-","2","2+","3-","3","3+","4-","4","4+","5-","5","5+"})</f>
        <v>5</v>
      </c>
    </row>
    <row r="11" spans="1:8" ht="30">
      <c r="A11" s="193">
        <v>606</v>
      </c>
      <c r="B11" s="193" t="s">
        <v>46</v>
      </c>
      <c r="C11" s="195">
        <v>6185504563.8800001</v>
      </c>
      <c r="D11" s="195">
        <v>6209122516.4300003</v>
      </c>
      <c r="E11" s="201">
        <f t="shared" si="0"/>
        <v>99.62</v>
      </c>
      <c r="F11" s="201">
        <f t="shared" si="1"/>
        <v>4</v>
      </c>
      <c r="G11" s="162" t="str">
        <f>LOOKUP(E11,{0,49.99,50,60,69.99,70,75,79.99,80,85,89.99,90,95,99.99,100,103,107},{"0","1-","1","1+","2-","2","2+","3-","3","3+","4-","4","4+","5-","5","5+"})</f>
        <v>4+</v>
      </c>
    </row>
    <row r="12" spans="1:8" ht="30">
      <c r="A12" s="193">
        <v>607</v>
      </c>
      <c r="B12" s="193" t="s">
        <v>50</v>
      </c>
      <c r="C12" s="195">
        <v>748146020.10000002</v>
      </c>
      <c r="D12" s="195">
        <v>749652329.65999997</v>
      </c>
      <c r="E12" s="201">
        <f t="shared" si="0"/>
        <v>99.8</v>
      </c>
      <c r="F12" s="201">
        <f t="shared" si="1"/>
        <v>4</v>
      </c>
      <c r="G12" s="162" t="str">
        <f>LOOKUP(E12,{0,49.99,50,60,69.99,70,75,79.99,80,85,89.99,90,95,99.99,100,103,107},{"0","1-","1","1+","2-","2","2+","3-","3","3+","4-","4","4+","5-","5","5+"})</f>
        <v>4+</v>
      </c>
    </row>
    <row r="13" spans="1:8" ht="45">
      <c r="A13" s="193">
        <v>609</v>
      </c>
      <c r="B13" s="193" t="s">
        <v>37</v>
      </c>
      <c r="C13" s="195">
        <v>3933100477.75</v>
      </c>
      <c r="D13" s="195">
        <v>3936712453.9000001</v>
      </c>
      <c r="E13" s="201">
        <f t="shared" si="0"/>
        <v>99.91</v>
      </c>
      <c r="F13" s="201">
        <f t="shared" si="1"/>
        <v>4</v>
      </c>
      <c r="G13" s="162" t="str">
        <f>LOOKUP(E13,{0,49.99,50,60,69.99,70,75,79.99,80,85,89.99,90,95,99.99,100,103,107},{"0","1-","1","1+","2-","2","2+","3-","3","3+","4-","4","4+","5-","5","5+"})</f>
        <v>4+</v>
      </c>
    </row>
    <row r="14" spans="1:8" ht="30">
      <c r="A14" s="193">
        <v>611</v>
      </c>
      <c r="B14" s="193" t="s">
        <v>47</v>
      </c>
      <c r="C14" s="195">
        <v>249326525.33000001</v>
      </c>
      <c r="D14" s="195">
        <v>252898085.96000001</v>
      </c>
      <c r="E14" s="201">
        <f t="shared" si="0"/>
        <v>98.59</v>
      </c>
      <c r="F14" s="201">
        <f t="shared" si="1"/>
        <v>4</v>
      </c>
      <c r="G14" s="162" t="str">
        <f>LOOKUP(E14,{0,49.99,50,60,69.99,70,75,79.99,80,85,89.99,90,95,99.99,100,103,107},{"0","1-","1","1+","2-","2","2+","3-","3","3+","4-","4","4+","5-","5","5+"})</f>
        <v>4+</v>
      </c>
    </row>
    <row r="15" spans="1:8" ht="30">
      <c r="A15" s="193">
        <v>617</v>
      </c>
      <c r="B15" s="193" t="s">
        <v>42</v>
      </c>
      <c r="C15" s="195">
        <v>170255725.33000001</v>
      </c>
      <c r="D15" s="195">
        <v>172365548.08000001</v>
      </c>
      <c r="E15" s="201">
        <f t="shared" si="0"/>
        <v>98.78</v>
      </c>
      <c r="F15" s="201">
        <f t="shared" si="1"/>
        <v>4</v>
      </c>
      <c r="G15" s="162" t="str">
        <f>LOOKUP(E15,{0,49.99,50,60,69.99,70,75,79.99,80,85,89.99,90,95,99.99,100,103,107},{"0","1-","1","1+","2-","2","2+","3-","3","3+","4-","4","4+","5-","5","5+"})</f>
        <v>4+</v>
      </c>
    </row>
    <row r="16" spans="1:8" ht="30">
      <c r="A16" s="193">
        <v>618</v>
      </c>
      <c r="B16" s="193" t="s">
        <v>38</v>
      </c>
      <c r="C16" s="195">
        <v>177998590.59</v>
      </c>
      <c r="D16" s="195">
        <v>178092009.03999999</v>
      </c>
      <c r="E16" s="201">
        <f t="shared" si="0"/>
        <v>99.95</v>
      </c>
      <c r="F16" s="201">
        <f t="shared" si="1"/>
        <v>4</v>
      </c>
      <c r="G16" s="162" t="str">
        <f>LOOKUP(E16,{0,49.99,50,60,69.99,70,75,79.99,80,85,89.99,90,95,99.99,100,103,107},{"0","1-","1","1+","2-","2","2+","3-","3","3+","4-","4","4+","5-","5","5+"})</f>
        <v>4+</v>
      </c>
    </row>
    <row r="17" spans="1:7" ht="30">
      <c r="A17" s="193">
        <v>619</v>
      </c>
      <c r="B17" s="193" t="s">
        <v>44</v>
      </c>
      <c r="C17" s="195">
        <v>288419664.23000002</v>
      </c>
      <c r="D17" s="195">
        <v>307603424.48000002</v>
      </c>
      <c r="E17" s="201">
        <f t="shared" si="0"/>
        <v>93.76</v>
      </c>
      <c r="F17" s="201">
        <f t="shared" si="1"/>
        <v>4</v>
      </c>
      <c r="G17" s="162" t="str">
        <f>LOOKUP(E17,{0,49.99,50,60,69.99,70,75,79.99,80,85,89.99,90,95,99.99,100,103,107},{"0","1-","1","1+","2-","2","2+","3-","3","3+","4-","4","4+","5-","5","5+"})</f>
        <v>4</v>
      </c>
    </row>
    <row r="18" spans="1:7" ht="30">
      <c r="A18" s="193">
        <v>620</v>
      </c>
      <c r="B18" s="193" t="s">
        <v>48</v>
      </c>
      <c r="C18" s="195">
        <v>1891267002.2</v>
      </c>
      <c r="D18" s="195">
        <v>1982914220.1700001</v>
      </c>
      <c r="E18" s="201">
        <f t="shared" si="0"/>
        <v>95.38</v>
      </c>
      <c r="F18" s="201">
        <f t="shared" si="1"/>
        <v>4</v>
      </c>
      <c r="G18" s="162" t="str">
        <f>LOOKUP(E18,{0,49.99,50,60,69.99,70,75,79.99,80,85,89.99,90,95,99.99,100,103,107},{"0","1-","1","1+","2-","2","2+","3-","3","3+","4-","4","4+","5-","5","5+"})</f>
        <v>4+</v>
      </c>
    </row>
    <row r="19" spans="1:7" ht="30">
      <c r="A19" s="193">
        <v>621</v>
      </c>
      <c r="B19" s="193" t="s">
        <v>54</v>
      </c>
      <c r="C19" s="195">
        <v>2173956298.54</v>
      </c>
      <c r="D19" s="195">
        <v>2763569284.9499998</v>
      </c>
      <c r="E19" s="201">
        <f t="shared" si="0"/>
        <v>78.66</v>
      </c>
      <c r="F19" s="201">
        <f t="shared" si="1"/>
        <v>2</v>
      </c>
      <c r="G19" s="162" t="str">
        <f>LOOKUP(E19,{0,49.99,50,60,69.99,70,75,79.99,80,85,89.99,90,95,99.99,100,103,107},{"0","1-","1","1+","2-","2","2+","3-","3","3+","4-","4","4+","5-","5","5+"})</f>
        <v>2+</v>
      </c>
    </row>
    <row r="20" spans="1:7" ht="45">
      <c r="A20" s="193">
        <v>624</v>
      </c>
      <c r="B20" s="193" t="s">
        <v>40</v>
      </c>
      <c r="C20" s="195">
        <v>107894826.17</v>
      </c>
      <c r="D20" s="195">
        <v>108953843.08</v>
      </c>
      <c r="E20" s="201">
        <f t="shared" si="0"/>
        <v>99.03</v>
      </c>
      <c r="F20" s="201">
        <f t="shared" si="1"/>
        <v>4</v>
      </c>
      <c r="G20" s="162" t="str">
        <f>LOOKUP(E20,{0,49.99,50,60,69.99,70,75,79.99,80,85,89.99,90,95,99.99,100,103,107},{"0","1-","1","1+","2-","2","2+","3-","3","3+","4-","4","4+","5-","5","5+"})</f>
        <v>4+</v>
      </c>
    </row>
    <row r="21" spans="1:7" ht="30">
      <c r="A21" s="84">
        <v>643</v>
      </c>
      <c r="B21" s="261" t="s">
        <v>169</v>
      </c>
      <c r="C21" s="262"/>
      <c r="D21" s="262"/>
      <c r="E21" s="262"/>
      <c r="F21" s="262"/>
      <c r="G21" s="162"/>
    </row>
    <row r="22" spans="1:7" ht="12.75" customHeight="1">
      <c r="A22" s="221"/>
      <c r="B22" s="221"/>
      <c r="C22" s="222"/>
      <c r="D22" s="222"/>
      <c r="E22" s="223"/>
      <c r="F22" s="223"/>
    </row>
    <row r="23" spans="1:7">
      <c r="A23" s="221"/>
      <c r="B23" s="263" t="s">
        <v>23</v>
      </c>
      <c r="C23" s="264"/>
      <c r="D23" s="264"/>
      <c r="E23" s="265">
        <f>SUBTOTAL(9,E7:E20)</f>
        <v>1345.44</v>
      </c>
      <c r="F23" s="223"/>
    </row>
    <row r="24" spans="1:7">
      <c r="A24" s="221"/>
      <c r="B24" s="266" t="s">
        <v>24</v>
      </c>
      <c r="C24" s="264"/>
      <c r="D24" s="264"/>
      <c r="E24" s="267">
        <f>ROUND(E23/16,2)</f>
        <v>84.09</v>
      </c>
      <c r="F24" s="223"/>
    </row>
    <row r="25" spans="1:7">
      <c r="C25" s="4">
        <f>SUM(C7:C20)</f>
        <v>16320481200.030001</v>
      </c>
      <c r="D25" s="4">
        <f>SUM(D7:D20)</f>
        <v>17077238682.679998</v>
      </c>
    </row>
    <row r="26" spans="1:7">
      <c r="C26" s="4">
        <v>9666084472.4999924</v>
      </c>
      <c r="D26" s="4">
        <v>9942990074.6999969</v>
      </c>
    </row>
    <row r="27" spans="1:7">
      <c r="C27" s="4">
        <f>C25-C26</f>
        <v>6654396727.5300083</v>
      </c>
      <c r="D27" s="4">
        <f>D25-D26</f>
        <v>7134248607.9800014</v>
      </c>
    </row>
  </sheetData>
  <sheetProtection formatCells="0" formatColumns="0" formatRows="0" insertColumns="0" insertRows="0" insertHyperlinks="0" deleteColumns="0" deleteRows="0" sort="0" autoFilter="0" pivotTables="0"/>
  <autoFilter ref="E5:E20"/>
  <sortState ref="A6:F19">
    <sortCondition ref="A6"/>
  </sortState>
  <mergeCells count="2">
    <mergeCell ref="A1:F1"/>
    <mergeCell ref="A2:F2"/>
  </mergeCells>
  <pageMargins left="0.35433070866141736" right="0.19685039370078738" top="0.74803149606299213" bottom="0.74803149606299213" header="0.31496062992125984" footer="0.31496062992125984"/>
  <pageSetup paperSize="9" scale="76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3">
    <tabColor rgb="FF00B050"/>
  </sheetPr>
  <dimension ref="A1:R25"/>
  <sheetViews>
    <sheetView topLeftCell="A7" workbookViewId="0">
      <selection activeCell="A14" sqref="A14:F14"/>
    </sheetView>
  </sheetViews>
  <sheetFormatPr defaultRowHeight="15"/>
  <cols>
    <col min="1" max="1" width="8.42578125" style="46" customWidth="1"/>
    <col min="2" max="2" width="41.140625" style="3" customWidth="1"/>
    <col min="3" max="3" width="20.28515625" style="3" customWidth="1"/>
    <col min="4" max="4" width="22.140625" style="3" customWidth="1"/>
    <col min="5" max="5" width="21.5703125" style="3" customWidth="1"/>
    <col min="6" max="6" width="13.140625" style="3" customWidth="1"/>
    <col min="7" max="7" width="9.140625" style="3"/>
    <col min="8" max="8" width="39.42578125" style="3" customWidth="1"/>
    <col min="9" max="16384" width="9.140625" style="3"/>
  </cols>
  <sheetData>
    <row r="1" spans="1:18" s="178" customFormat="1" ht="20.25" customHeight="1">
      <c r="A1" s="447" t="s">
        <v>107</v>
      </c>
      <c r="B1" s="447"/>
      <c r="C1" s="447"/>
      <c r="D1" s="447"/>
      <c r="E1" s="447"/>
      <c r="F1" s="447"/>
      <c r="G1" s="209"/>
      <c r="H1" s="209"/>
    </row>
    <row r="2" spans="1:18" ht="19.5">
      <c r="A2" s="448" t="s">
        <v>175</v>
      </c>
      <c r="B2" s="448"/>
      <c r="C2" s="448"/>
      <c r="D2" s="448"/>
      <c r="E2" s="448"/>
      <c r="F2" s="448"/>
    </row>
    <row r="3" spans="1:18">
      <c r="D3" s="46"/>
    </row>
    <row r="4" spans="1:18">
      <c r="F4" s="181" t="s">
        <v>134</v>
      </c>
      <c r="H4" s="3">
        <v>15</v>
      </c>
    </row>
    <row r="5" spans="1:18" ht="120">
      <c r="A5" s="47" t="s">
        <v>35</v>
      </c>
      <c r="B5" s="47" t="s">
        <v>2</v>
      </c>
      <c r="C5" s="47" t="s">
        <v>176</v>
      </c>
      <c r="D5" s="47" t="s">
        <v>177</v>
      </c>
      <c r="E5" s="47" t="s">
        <v>178</v>
      </c>
      <c r="F5" s="47" t="s">
        <v>139</v>
      </c>
      <c r="H5" s="46" t="s">
        <v>179</v>
      </c>
    </row>
    <row r="6" spans="1:18">
      <c r="A6" s="193">
        <v>600</v>
      </c>
      <c r="B6" s="193" t="s">
        <v>51</v>
      </c>
      <c r="C6" s="268"/>
      <c r="D6" s="268"/>
      <c r="E6" s="268"/>
      <c r="F6" s="268"/>
      <c r="H6" s="46"/>
    </row>
    <row r="7" spans="1:18">
      <c r="A7" s="193">
        <v>601</v>
      </c>
      <c r="B7" s="193" t="s">
        <v>13</v>
      </c>
      <c r="C7" s="269">
        <v>20</v>
      </c>
      <c r="D7" s="269">
        <v>25</v>
      </c>
      <c r="E7" s="201">
        <f t="shared" ref="E7:E20" si="0">ROUND(C7/D7*100,2)</f>
        <v>80</v>
      </c>
      <c r="F7" s="201">
        <v>4</v>
      </c>
      <c r="H7" s="270">
        <v>43</v>
      </c>
      <c r="I7" s="270">
        <v>46</v>
      </c>
      <c r="J7" s="271">
        <f t="shared" ref="J7:J20" si="1">ROUND(H7/I7*100,2)</f>
        <v>93.48</v>
      </c>
      <c r="K7" s="49">
        <v>5</v>
      </c>
      <c r="M7" s="270">
        <f>10+4</f>
        <v>14</v>
      </c>
      <c r="N7" s="270">
        <f>14+5</f>
        <v>19</v>
      </c>
      <c r="P7" s="3">
        <v>601</v>
      </c>
      <c r="Q7" s="3">
        <v>52</v>
      </c>
      <c r="R7" s="3">
        <v>48</v>
      </c>
    </row>
    <row r="8" spans="1:18" ht="30">
      <c r="A8" s="193">
        <v>602</v>
      </c>
      <c r="B8" s="193" t="s">
        <v>53</v>
      </c>
      <c r="C8" s="269">
        <v>16</v>
      </c>
      <c r="D8" s="269">
        <v>20</v>
      </c>
      <c r="E8" s="201">
        <f t="shared" si="0"/>
        <v>80</v>
      </c>
      <c r="F8" s="196">
        <v>4</v>
      </c>
      <c r="H8" s="270">
        <v>13</v>
      </c>
      <c r="I8" s="270">
        <v>15</v>
      </c>
      <c r="J8" s="272">
        <f t="shared" si="1"/>
        <v>86.67</v>
      </c>
      <c r="K8" s="49">
        <v>4</v>
      </c>
      <c r="M8" s="270">
        <f>3+4</f>
        <v>7</v>
      </c>
      <c r="N8" s="270">
        <f>3+9</f>
        <v>12</v>
      </c>
      <c r="P8" s="3">
        <v>602</v>
      </c>
      <c r="Q8" s="3">
        <v>16</v>
      </c>
      <c r="R8" s="3">
        <v>11</v>
      </c>
    </row>
    <row r="9" spans="1:18" ht="30">
      <c r="A9" s="193">
        <v>604</v>
      </c>
      <c r="B9" s="193" t="s">
        <v>49</v>
      </c>
      <c r="C9" s="269">
        <v>22</v>
      </c>
      <c r="D9" s="269">
        <v>22</v>
      </c>
      <c r="E9" s="201">
        <f t="shared" si="0"/>
        <v>100</v>
      </c>
      <c r="F9" s="201">
        <v>5</v>
      </c>
      <c r="H9" s="270">
        <v>24</v>
      </c>
      <c r="I9" s="270">
        <v>26</v>
      </c>
      <c r="J9" s="271">
        <f t="shared" si="1"/>
        <v>92.31</v>
      </c>
      <c r="K9" s="49">
        <v>5</v>
      </c>
      <c r="M9" s="270">
        <v>24</v>
      </c>
      <c r="N9" s="270">
        <v>28</v>
      </c>
      <c r="P9" s="3">
        <v>604</v>
      </c>
      <c r="Q9" s="3">
        <v>22</v>
      </c>
      <c r="R9" s="3">
        <v>21</v>
      </c>
    </row>
    <row r="10" spans="1:18" ht="36" customHeight="1">
      <c r="A10" s="193">
        <v>605</v>
      </c>
      <c r="B10" s="193" t="s">
        <v>45</v>
      </c>
      <c r="C10" s="269">
        <v>43</v>
      </c>
      <c r="D10" s="269">
        <v>45</v>
      </c>
      <c r="E10" s="201">
        <f t="shared" si="0"/>
        <v>95.56</v>
      </c>
      <c r="F10" s="201">
        <v>5</v>
      </c>
      <c r="H10" s="270">
        <v>5</v>
      </c>
      <c r="I10" s="270">
        <v>5</v>
      </c>
      <c r="J10" s="271">
        <f t="shared" si="1"/>
        <v>100</v>
      </c>
      <c r="K10" s="49">
        <v>5</v>
      </c>
      <c r="M10" s="270">
        <v>1</v>
      </c>
      <c r="N10" s="270">
        <v>1</v>
      </c>
      <c r="P10" s="3">
        <v>605</v>
      </c>
      <c r="Q10" s="3">
        <v>3</v>
      </c>
      <c r="R10" s="3">
        <v>3</v>
      </c>
    </row>
    <row r="11" spans="1:18" ht="30">
      <c r="A11" s="193">
        <v>606</v>
      </c>
      <c r="B11" s="193" t="s">
        <v>46</v>
      </c>
      <c r="C11" s="269">
        <v>40</v>
      </c>
      <c r="D11" s="269">
        <v>41</v>
      </c>
      <c r="E11" s="201">
        <f t="shared" si="0"/>
        <v>97.56</v>
      </c>
      <c r="F11" s="201">
        <v>5</v>
      </c>
      <c r="H11" s="270">
        <v>23</v>
      </c>
      <c r="I11" s="270">
        <v>23</v>
      </c>
      <c r="J11" s="271">
        <f t="shared" si="1"/>
        <v>100</v>
      </c>
      <c r="K11" s="49">
        <v>5</v>
      </c>
      <c r="M11" s="270">
        <f>19+4</f>
        <v>23</v>
      </c>
      <c r="N11" s="270">
        <f>19+4</f>
        <v>23</v>
      </c>
      <c r="P11" s="3">
        <v>606</v>
      </c>
      <c r="Q11" s="3">
        <v>31</v>
      </c>
      <c r="R11" s="3">
        <v>29</v>
      </c>
    </row>
    <row r="12" spans="1:18" ht="30">
      <c r="A12" s="193">
        <v>607</v>
      </c>
      <c r="B12" s="193" t="s">
        <v>50</v>
      </c>
      <c r="C12" s="269">
        <v>35</v>
      </c>
      <c r="D12" s="269">
        <v>35</v>
      </c>
      <c r="E12" s="201">
        <f t="shared" si="0"/>
        <v>100</v>
      </c>
      <c r="F12" s="201">
        <v>5</v>
      </c>
      <c r="H12" s="270">
        <v>47</v>
      </c>
      <c r="I12" s="270">
        <v>47</v>
      </c>
      <c r="J12" s="271">
        <f t="shared" si="1"/>
        <v>100</v>
      </c>
      <c r="K12" s="49">
        <v>5</v>
      </c>
      <c r="M12" s="270">
        <f>3+13</f>
        <v>16</v>
      </c>
      <c r="N12" s="270">
        <f>3+13</f>
        <v>16</v>
      </c>
      <c r="P12" s="3">
        <v>607</v>
      </c>
      <c r="Q12" s="3">
        <v>29</v>
      </c>
      <c r="R12" s="3">
        <v>28</v>
      </c>
    </row>
    <row r="13" spans="1:18" ht="45">
      <c r="A13" s="193">
        <v>609</v>
      </c>
      <c r="B13" s="193" t="s">
        <v>37</v>
      </c>
      <c r="C13" s="269">
        <v>15</v>
      </c>
      <c r="D13" s="269">
        <v>15</v>
      </c>
      <c r="E13" s="196">
        <v>100</v>
      </c>
      <c r="F13" s="196">
        <v>5</v>
      </c>
      <c r="H13" s="270">
        <v>9</v>
      </c>
      <c r="I13" s="270">
        <v>9</v>
      </c>
      <c r="J13" s="271">
        <f t="shared" si="1"/>
        <v>100</v>
      </c>
      <c r="K13" s="49">
        <v>5</v>
      </c>
      <c r="M13" s="270">
        <v>8</v>
      </c>
      <c r="N13" s="270">
        <v>8</v>
      </c>
      <c r="P13" s="3">
        <v>609</v>
      </c>
      <c r="Q13" s="3">
        <v>19</v>
      </c>
      <c r="R13" s="3">
        <v>17</v>
      </c>
    </row>
    <row r="14" spans="1:18" ht="30">
      <c r="A14" s="193">
        <v>611</v>
      </c>
      <c r="B14" s="193" t="s">
        <v>47</v>
      </c>
      <c r="C14" s="269">
        <v>21</v>
      </c>
      <c r="D14" s="269">
        <v>22</v>
      </c>
      <c r="E14" s="201">
        <f t="shared" si="0"/>
        <v>95.45</v>
      </c>
      <c r="F14" s="201">
        <v>5</v>
      </c>
      <c r="H14" s="270">
        <v>30</v>
      </c>
      <c r="I14" s="270">
        <v>30</v>
      </c>
      <c r="J14" s="271">
        <f t="shared" si="1"/>
        <v>100</v>
      </c>
      <c r="K14" s="49">
        <v>5</v>
      </c>
      <c r="M14" s="270">
        <v>18</v>
      </c>
      <c r="N14" s="270">
        <v>18</v>
      </c>
      <c r="P14" s="3">
        <v>611</v>
      </c>
      <c r="Q14" s="3">
        <v>17</v>
      </c>
      <c r="R14" s="3">
        <v>15</v>
      </c>
    </row>
    <row r="15" spans="1:18" ht="30">
      <c r="A15" s="193">
        <v>617</v>
      </c>
      <c r="B15" s="193" t="s">
        <v>42</v>
      </c>
      <c r="C15" s="269">
        <v>8</v>
      </c>
      <c r="D15" s="269">
        <v>8</v>
      </c>
      <c r="E15" s="201">
        <f t="shared" si="0"/>
        <v>100</v>
      </c>
      <c r="F15" s="201">
        <v>5</v>
      </c>
      <c r="H15" s="270">
        <v>3</v>
      </c>
      <c r="I15" s="270">
        <v>3</v>
      </c>
      <c r="J15" s="271">
        <f t="shared" si="1"/>
        <v>100</v>
      </c>
      <c r="K15" s="49">
        <v>5</v>
      </c>
      <c r="M15" s="270">
        <f t="shared" ref="M15:M17" si="2">3</f>
        <v>3</v>
      </c>
      <c r="N15" s="270">
        <f t="shared" ref="N15:N17" si="3">3</f>
        <v>3</v>
      </c>
      <c r="P15" s="3">
        <v>617</v>
      </c>
      <c r="Q15" s="3">
        <v>8</v>
      </c>
      <c r="R15" s="3">
        <v>7</v>
      </c>
    </row>
    <row r="16" spans="1:18" ht="30">
      <c r="A16" s="193">
        <v>618</v>
      </c>
      <c r="B16" s="193" t="s">
        <v>38</v>
      </c>
      <c r="C16" s="269">
        <v>11</v>
      </c>
      <c r="D16" s="269">
        <v>12</v>
      </c>
      <c r="E16" s="201">
        <f t="shared" si="0"/>
        <v>91.67</v>
      </c>
      <c r="F16" s="201">
        <v>5</v>
      </c>
      <c r="H16" s="270">
        <v>3</v>
      </c>
      <c r="I16" s="270">
        <v>3</v>
      </c>
      <c r="J16" s="271">
        <f t="shared" si="1"/>
        <v>100</v>
      </c>
      <c r="K16" s="49">
        <v>5</v>
      </c>
      <c r="M16" s="270">
        <f t="shared" si="2"/>
        <v>3</v>
      </c>
      <c r="N16" s="270">
        <f t="shared" si="3"/>
        <v>3</v>
      </c>
      <c r="P16" s="3">
        <v>618</v>
      </c>
      <c r="Q16" s="3">
        <v>8</v>
      </c>
      <c r="R16" s="3">
        <v>8</v>
      </c>
    </row>
    <row r="17" spans="1:18" ht="30">
      <c r="A17" s="193">
        <v>619</v>
      </c>
      <c r="B17" s="193" t="s">
        <v>44</v>
      </c>
      <c r="C17" s="269">
        <v>9</v>
      </c>
      <c r="D17" s="269">
        <v>10</v>
      </c>
      <c r="E17" s="201">
        <f t="shared" si="0"/>
        <v>90</v>
      </c>
      <c r="F17" s="201">
        <v>4</v>
      </c>
      <c r="H17" s="270">
        <v>2</v>
      </c>
      <c r="I17" s="270">
        <v>3</v>
      </c>
      <c r="J17" s="273">
        <f t="shared" si="1"/>
        <v>66.67</v>
      </c>
      <c r="K17" s="49">
        <v>3</v>
      </c>
      <c r="M17" s="270">
        <f t="shared" si="2"/>
        <v>3</v>
      </c>
      <c r="N17" s="270">
        <f t="shared" si="3"/>
        <v>3</v>
      </c>
      <c r="P17" s="3">
        <v>619</v>
      </c>
      <c r="Q17" s="3">
        <v>8</v>
      </c>
      <c r="R17" s="3">
        <v>7</v>
      </c>
    </row>
    <row r="18" spans="1:18" ht="30">
      <c r="A18" s="193">
        <v>620</v>
      </c>
      <c r="B18" s="193" t="s">
        <v>48</v>
      </c>
      <c r="C18" s="269">
        <v>31</v>
      </c>
      <c r="D18" s="269">
        <v>31</v>
      </c>
      <c r="E18" s="201">
        <f t="shared" si="0"/>
        <v>100</v>
      </c>
      <c r="F18" s="201">
        <v>5</v>
      </c>
      <c r="H18" s="270">
        <v>39</v>
      </c>
      <c r="I18" s="270">
        <v>42</v>
      </c>
      <c r="J18" s="271">
        <f t="shared" si="1"/>
        <v>92.86</v>
      </c>
      <c r="K18" s="49">
        <v>5</v>
      </c>
      <c r="M18" s="270">
        <f>12+2</f>
        <v>14</v>
      </c>
      <c r="N18" s="270">
        <f>14+2</f>
        <v>16</v>
      </c>
      <c r="P18" s="3">
        <v>620</v>
      </c>
      <c r="Q18" s="3">
        <v>43</v>
      </c>
      <c r="R18" s="3">
        <v>36</v>
      </c>
    </row>
    <row r="19" spans="1:18" ht="30">
      <c r="A19" s="193">
        <v>621</v>
      </c>
      <c r="B19" s="193" t="s">
        <v>54</v>
      </c>
      <c r="C19" s="269">
        <v>42</v>
      </c>
      <c r="D19" s="269">
        <v>42</v>
      </c>
      <c r="E19" s="201">
        <f t="shared" si="0"/>
        <v>100</v>
      </c>
      <c r="F19" s="201">
        <v>5</v>
      </c>
      <c r="H19" s="270">
        <v>10</v>
      </c>
      <c r="I19" s="270">
        <v>16</v>
      </c>
      <c r="J19" s="273">
        <f t="shared" si="1"/>
        <v>62.5</v>
      </c>
      <c r="K19" s="49">
        <v>3</v>
      </c>
      <c r="M19" s="270">
        <v>4</v>
      </c>
      <c r="N19" s="270">
        <v>4</v>
      </c>
      <c r="P19" s="3">
        <v>621</v>
      </c>
      <c r="Q19" s="3">
        <v>17</v>
      </c>
      <c r="R19" s="3">
        <v>15</v>
      </c>
    </row>
    <row r="20" spans="1:18" ht="45">
      <c r="A20" s="193">
        <v>624</v>
      </c>
      <c r="B20" s="193" t="s">
        <v>40</v>
      </c>
      <c r="C20" s="269">
        <v>4</v>
      </c>
      <c r="D20" s="269">
        <v>4</v>
      </c>
      <c r="E20" s="201">
        <f t="shared" si="0"/>
        <v>100</v>
      </c>
      <c r="F20" s="201">
        <v>5</v>
      </c>
      <c r="H20" s="274">
        <v>9</v>
      </c>
      <c r="I20" s="274">
        <v>9</v>
      </c>
      <c r="J20" s="271">
        <f t="shared" si="1"/>
        <v>100</v>
      </c>
      <c r="K20" s="49">
        <v>5</v>
      </c>
      <c r="M20" s="274">
        <f>11</f>
        <v>11</v>
      </c>
      <c r="N20" s="274">
        <v>11</v>
      </c>
      <c r="P20" s="3">
        <v>624</v>
      </c>
      <c r="Q20" s="3">
        <v>16</v>
      </c>
      <c r="R20" s="3">
        <v>14</v>
      </c>
    </row>
    <row r="21" spans="1:18" ht="30">
      <c r="A21" s="193">
        <v>643</v>
      </c>
      <c r="B21" s="193" t="s">
        <v>169</v>
      </c>
      <c r="C21" s="269"/>
      <c r="D21" s="269"/>
      <c r="E21" s="201"/>
      <c r="F21" s="201"/>
      <c r="H21" s="258"/>
      <c r="I21" s="258"/>
      <c r="J21" s="275"/>
      <c r="M21" s="258"/>
      <c r="N21" s="258"/>
    </row>
    <row r="22" spans="1:18" ht="12.75" customHeight="1">
      <c r="A22" s="51"/>
      <c r="B22" s="51"/>
      <c r="C22" s="258"/>
      <c r="D22" s="258"/>
      <c r="H22" s="258"/>
      <c r="I22" s="258"/>
    </row>
    <row r="23" spans="1:18">
      <c r="A23" s="51"/>
      <c r="B23" s="51" t="s">
        <v>23</v>
      </c>
      <c r="C23" s="258"/>
      <c r="D23" s="258"/>
      <c r="E23" s="181">
        <f>SUBTOTAL(9,E7:E20)</f>
        <v>1330.24</v>
      </c>
      <c r="H23" s="258"/>
      <c r="I23" s="258"/>
      <c r="J23" s="181">
        <f>SUBTOTAL(9,J7:J20)</f>
        <v>1294.49</v>
      </c>
    </row>
    <row r="24" spans="1:18">
      <c r="A24" s="51"/>
      <c r="B24" s="54" t="s">
        <v>24</v>
      </c>
      <c r="C24" s="258"/>
      <c r="D24" s="258"/>
      <c r="E24" s="276">
        <f>ROUND(E23/16,2)</f>
        <v>83.14</v>
      </c>
      <c r="H24" s="258"/>
      <c r="I24" s="258"/>
      <c r="J24" s="276">
        <f>ROUND(J23/14,2)</f>
        <v>92.46</v>
      </c>
    </row>
    <row r="25" spans="1:18">
      <c r="C25" s="4">
        <f>SUM(C7:C20)</f>
        <v>317</v>
      </c>
      <c r="D25" s="4">
        <f>SUM(D7:D20)</f>
        <v>332</v>
      </c>
    </row>
  </sheetData>
  <sheetProtection formatCells="0" formatColumns="0" formatRows="0" insertColumns="0" insertRows="0" insertHyperlinks="0" deleteColumns="0" deleteRows="0" sort="0" autoFilter="0" pivotTables="0"/>
  <sortState ref="A6:F19">
    <sortCondition ref="A6"/>
  </sortState>
  <mergeCells count="2">
    <mergeCell ref="A1:F1"/>
    <mergeCell ref="A2:F2"/>
  </mergeCells>
  <pageMargins left="0.35433070866141736" right="0.19685039370078738" top="0.74803149606299213" bottom="0.74803149606299213" header="0.31496062992125984" footer="0.31496062992125984"/>
  <pageSetup paperSize="9" scale="76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6">
    <tabColor rgb="FF00B050"/>
  </sheetPr>
  <dimension ref="A1:I25"/>
  <sheetViews>
    <sheetView workbookViewId="0">
      <selection activeCell="A15" sqref="A15:E19"/>
    </sheetView>
  </sheetViews>
  <sheetFormatPr defaultColWidth="9.140625" defaultRowHeight="15"/>
  <cols>
    <col min="1" max="1" width="8.42578125" style="46" customWidth="1"/>
    <col min="2" max="2" width="41.140625" style="3" customWidth="1"/>
    <col min="3" max="3" width="23.85546875" style="3" customWidth="1"/>
    <col min="4" max="4" width="22.140625" style="3" customWidth="1"/>
    <col min="5" max="5" width="13.140625" style="3" customWidth="1"/>
    <col min="6" max="6" width="9.140625" style="3"/>
    <col min="7" max="7" width="31.7109375" style="3" customWidth="1"/>
    <col min="8" max="16384" width="9.140625" style="3"/>
  </cols>
  <sheetData>
    <row r="1" spans="1:9" s="178" customFormat="1" ht="20.25" customHeight="1">
      <c r="A1" s="447" t="s">
        <v>107</v>
      </c>
      <c r="B1" s="447"/>
      <c r="C1" s="447"/>
      <c r="D1" s="447"/>
      <c r="E1" s="447"/>
      <c r="F1" s="209"/>
      <c r="G1" s="209"/>
    </row>
    <row r="2" spans="1:9" ht="44.25" customHeight="1">
      <c r="A2" s="448" t="s">
        <v>180</v>
      </c>
      <c r="B2" s="448"/>
      <c r="C2" s="448"/>
      <c r="D2" s="448"/>
      <c r="E2" s="448"/>
    </row>
    <row r="3" spans="1:9">
      <c r="D3" s="46"/>
    </row>
    <row r="4" spans="1:9">
      <c r="E4" s="181"/>
      <c r="G4" s="3">
        <v>10</v>
      </c>
    </row>
    <row r="5" spans="1:9" ht="150">
      <c r="A5" s="47" t="s">
        <v>35</v>
      </c>
      <c r="B5" s="47" t="s">
        <v>2</v>
      </c>
      <c r="C5" s="47" t="s">
        <v>181</v>
      </c>
      <c r="D5" s="47" t="s">
        <v>182</v>
      </c>
      <c r="E5" s="47" t="s">
        <v>139</v>
      </c>
      <c r="G5" s="46" t="s">
        <v>183</v>
      </c>
    </row>
    <row r="6" spans="1:9">
      <c r="A6" s="15">
        <v>600</v>
      </c>
      <c r="B6" s="15" t="s">
        <v>51</v>
      </c>
      <c r="C6" s="277"/>
      <c r="D6" s="277"/>
      <c r="E6" s="203"/>
      <c r="H6" s="277"/>
      <c r="I6" s="277"/>
    </row>
    <row r="7" spans="1:9">
      <c r="A7" s="219">
        <v>601</v>
      </c>
      <c r="B7" s="219" t="s">
        <v>13</v>
      </c>
      <c r="C7" s="278" t="s">
        <v>184</v>
      </c>
      <c r="D7" s="279"/>
      <c r="E7" s="196">
        <f t="shared" ref="E7:E19" si="0">IF(C7="да",5,0)</f>
        <v>5</v>
      </c>
      <c r="H7" s="280" t="s">
        <v>184</v>
      </c>
      <c r="I7" s="270"/>
    </row>
    <row r="8" spans="1:9" ht="30">
      <c r="A8" s="193">
        <v>602</v>
      </c>
      <c r="B8" s="193" t="s">
        <v>53</v>
      </c>
      <c r="C8" s="278" t="s">
        <v>184</v>
      </c>
      <c r="D8" s="279"/>
      <c r="E8" s="201">
        <f t="shared" si="0"/>
        <v>5</v>
      </c>
      <c r="H8" s="280" t="s">
        <v>184</v>
      </c>
      <c r="I8" s="270"/>
    </row>
    <row r="9" spans="1:9" ht="30">
      <c r="A9" s="15">
        <v>604</v>
      </c>
      <c r="B9" s="15" t="s">
        <v>49</v>
      </c>
      <c r="C9" s="281"/>
      <c r="D9" s="281"/>
      <c r="E9" s="282">
        <f t="shared" si="0"/>
        <v>0</v>
      </c>
      <c r="H9" s="281"/>
      <c r="I9" s="281"/>
    </row>
    <row r="10" spans="1:9" ht="45">
      <c r="A10" s="15">
        <v>605</v>
      </c>
      <c r="B10" s="15" t="s">
        <v>45</v>
      </c>
      <c r="C10" s="281"/>
      <c r="D10" s="281"/>
      <c r="E10" s="282">
        <f t="shared" si="0"/>
        <v>0</v>
      </c>
      <c r="H10" s="281"/>
      <c r="I10" s="281"/>
    </row>
    <row r="11" spans="1:9" ht="30">
      <c r="A11" s="193">
        <v>606</v>
      </c>
      <c r="B11" s="193" t="s">
        <v>46</v>
      </c>
      <c r="C11" s="278" t="s">
        <v>184</v>
      </c>
      <c r="D11" s="279"/>
      <c r="E11" s="196">
        <f t="shared" si="0"/>
        <v>5</v>
      </c>
      <c r="H11" s="280" t="s">
        <v>184</v>
      </c>
      <c r="I11" s="270"/>
    </row>
    <row r="12" spans="1:9" ht="30">
      <c r="A12" s="193">
        <v>607</v>
      </c>
      <c r="B12" s="193" t="s">
        <v>50</v>
      </c>
      <c r="C12" s="278" t="s">
        <v>184</v>
      </c>
      <c r="D12" s="279"/>
      <c r="E12" s="196">
        <f t="shared" si="0"/>
        <v>5</v>
      </c>
      <c r="H12" s="280" t="s">
        <v>185</v>
      </c>
      <c r="I12" s="270">
        <v>1</v>
      </c>
    </row>
    <row r="13" spans="1:9" ht="45">
      <c r="A13" s="15">
        <v>609</v>
      </c>
      <c r="B13" s="15" t="s">
        <v>37</v>
      </c>
      <c r="C13" s="281"/>
      <c r="D13" s="281"/>
      <c r="E13" s="282"/>
      <c r="H13" s="281"/>
      <c r="I13" s="281"/>
    </row>
    <row r="14" spans="1:9" ht="30">
      <c r="A14" s="15">
        <v>611</v>
      </c>
      <c r="B14" s="15" t="s">
        <v>47</v>
      </c>
      <c r="C14" s="281"/>
      <c r="D14" s="281"/>
      <c r="E14" s="282"/>
      <c r="H14" s="281"/>
      <c r="I14" s="281"/>
    </row>
    <row r="15" spans="1:9" ht="30">
      <c r="A15" s="193">
        <v>617</v>
      </c>
      <c r="B15" s="193" t="s">
        <v>42</v>
      </c>
      <c r="C15" s="278" t="s">
        <v>184</v>
      </c>
      <c r="D15" s="279"/>
      <c r="E15" s="196">
        <f t="shared" si="0"/>
        <v>5</v>
      </c>
      <c r="H15" s="280" t="s">
        <v>184</v>
      </c>
      <c r="I15" s="270"/>
    </row>
    <row r="16" spans="1:9" ht="30">
      <c r="A16" s="193">
        <v>618</v>
      </c>
      <c r="B16" s="193" t="s">
        <v>38</v>
      </c>
      <c r="C16" s="278" t="s">
        <v>184</v>
      </c>
      <c r="D16" s="279"/>
      <c r="E16" s="196">
        <f t="shared" si="0"/>
        <v>5</v>
      </c>
      <c r="H16" s="280" t="s">
        <v>184</v>
      </c>
      <c r="I16" s="270"/>
    </row>
    <row r="17" spans="1:9" ht="30">
      <c r="A17" s="193">
        <v>619</v>
      </c>
      <c r="B17" s="193" t="s">
        <v>44</v>
      </c>
      <c r="C17" s="278" t="s">
        <v>184</v>
      </c>
      <c r="D17" s="279"/>
      <c r="E17" s="196">
        <f t="shared" si="0"/>
        <v>5</v>
      </c>
      <c r="H17" s="280" t="s">
        <v>184</v>
      </c>
      <c r="I17" s="270"/>
    </row>
    <row r="18" spans="1:9" ht="30">
      <c r="A18" s="193">
        <v>620</v>
      </c>
      <c r="B18" s="193" t="s">
        <v>48</v>
      </c>
      <c r="C18" s="278" t="s">
        <v>184</v>
      </c>
      <c r="D18" s="283"/>
      <c r="E18" s="284">
        <f t="shared" si="0"/>
        <v>5</v>
      </c>
      <c r="H18" s="285" t="s">
        <v>185</v>
      </c>
      <c r="I18" s="286">
        <v>1</v>
      </c>
    </row>
    <row r="19" spans="1:9" ht="30">
      <c r="A19" s="193">
        <v>621</v>
      </c>
      <c r="B19" s="193" t="s">
        <v>54</v>
      </c>
      <c r="C19" s="278" t="s">
        <v>184</v>
      </c>
      <c r="D19" s="279"/>
      <c r="E19" s="196">
        <f t="shared" si="0"/>
        <v>5</v>
      </c>
      <c r="H19" s="280" t="s">
        <v>185</v>
      </c>
      <c r="I19" s="270">
        <v>1</v>
      </c>
    </row>
    <row r="20" spans="1:9" ht="45">
      <c r="A20" s="15">
        <v>624</v>
      </c>
      <c r="B20" s="15" t="s">
        <v>40</v>
      </c>
      <c r="C20" s="287"/>
      <c r="D20" s="287"/>
      <c r="E20" s="282"/>
      <c r="H20" s="287"/>
      <c r="I20" s="287"/>
    </row>
    <row r="21" spans="1:9" ht="30">
      <c r="A21" s="15">
        <v>643</v>
      </c>
      <c r="B21" s="15" t="s">
        <v>169</v>
      </c>
      <c r="C21" s="287"/>
      <c r="D21" s="287"/>
      <c r="E21" s="282"/>
      <c r="H21" s="287"/>
      <c r="I21" s="287"/>
    </row>
    <row r="22" spans="1:9" ht="12.75" customHeight="1">
      <c r="A22" s="51"/>
      <c r="B22" s="51"/>
      <c r="C22" s="258"/>
      <c r="D22" s="258"/>
    </row>
    <row r="23" spans="1:9">
      <c r="A23" s="51"/>
      <c r="B23" s="51" t="s">
        <v>23</v>
      </c>
      <c r="C23" s="258"/>
      <c r="D23" s="258"/>
    </row>
    <row r="24" spans="1:9">
      <c r="A24" s="51"/>
      <c r="B24" s="54" t="s">
        <v>24</v>
      </c>
      <c r="C24" s="258"/>
      <c r="D24" s="258"/>
    </row>
    <row r="25" spans="1:9">
      <c r="C25" s="4">
        <f>SUM(C7:C20)</f>
        <v>0</v>
      </c>
      <c r="D25" s="4">
        <f>SUM(D7:D20)</f>
        <v>0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E1"/>
    <mergeCell ref="A2:E2"/>
  </mergeCells>
  <pageMargins left="0.35433070866141736" right="0.19685039370078738" top="0.74803149606299213" bottom="0.74803149606299213" header="0.31496062992125984" footer="0.31496062992125984"/>
  <pageSetup paperSize="9" scale="76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7">
    <tabColor rgb="FF00B050"/>
  </sheetPr>
  <dimension ref="A1:L29"/>
  <sheetViews>
    <sheetView workbookViewId="0">
      <selection activeCell="E11" sqref="E11"/>
    </sheetView>
  </sheetViews>
  <sheetFormatPr defaultColWidth="9.140625" defaultRowHeight="15"/>
  <cols>
    <col min="1" max="1" width="8.42578125" style="46" customWidth="1"/>
    <col min="2" max="2" width="41.140625" style="3" customWidth="1"/>
    <col min="3" max="3" width="20.28515625" style="3" customWidth="1"/>
    <col min="4" max="4" width="23.5703125" style="3" customWidth="1"/>
    <col min="5" max="5" width="19.5703125" style="3" customWidth="1"/>
    <col min="6" max="6" width="13.140625" style="3" customWidth="1"/>
    <col min="7" max="8" width="9.140625" style="3"/>
    <col min="9" max="9" width="15.42578125" style="3" bestFit="1" customWidth="1"/>
    <col min="10" max="10" width="17.140625" style="3" customWidth="1"/>
    <col min="11" max="16384" width="9.140625" style="3"/>
  </cols>
  <sheetData>
    <row r="1" spans="1:12" s="178" customFormat="1" ht="20.25">
      <c r="A1" s="447" t="s">
        <v>107</v>
      </c>
      <c r="B1" s="447"/>
      <c r="C1" s="447"/>
      <c r="D1" s="447"/>
      <c r="E1" s="447"/>
      <c r="F1" s="447"/>
    </row>
    <row r="2" spans="1:12" ht="37.15" customHeight="1">
      <c r="A2" s="448" t="s">
        <v>186</v>
      </c>
      <c r="B2" s="448"/>
      <c r="C2" s="448"/>
      <c r="D2" s="448"/>
      <c r="E2" s="448"/>
      <c r="F2" s="448"/>
    </row>
    <row r="5" spans="1:12" ht="199.5" customHeight="1">
      <c r="A5" s="47" t="s">
        <v>35</v>
      </c>
      <c r="B5" s="47" t="s">
        <v>2</v>
      </c>
      <c r="C5" s="232" t="s">
        <v>187</v>
      </c>
      <c r="D5" s="232" t="s">
        <v>188</v>
      </c>
      <c r="E5" s="47" t="s">
        <v>189</v>
      </c>
      <c r="F5" s="47" t="s">
        <v>139</v>
      </c>
    </row>
    <row r="6" spans="1:12">
      <c r="A6" s="219">
        <v>601</v>
      </c>
      <c r="B6" s="239" t="s">
        <v>13</v>
      </c>
      <c r="C6" s="288">
        <v>0</v>
      </c>
      <c r="D6" s="289">
        <v>341417338.82999998</v>
      </c>
      <c r="E6" s="290">
        <f t="shared" ref="E6:E21" si="0">ROUND(C6/D6*100,2)</f>
        <v>0</v>
      </c>
      <c r="F6" s="291">
        <v>5</v>
      </c>
      <c r="G6" s="1"/>
      <c r="H6" s="1"/>
      <c r="I6" s="292">
        <v>0</v>
      </c>
      <c r="J6" s="293">
        <v>300246357.68000001</v>
      </c>
      <c r="K6" s="294">
        <f t="shared" ref="K6:K19" si="1">ROUND(I6/J6*100,2)</f>
        <v>0</v>
      </c>
      <c r="L6" s="295">
        <v>5</v>
      </c>
    </row>
    <row r="7" spans="1:12" ht="30">
      <c r="A7" s="193">
        <v>602</v>
      </c>
      <c r="B7" s="242" t="s">
        <v>53</v>
      </c>
      <c r="C7" s="288">
        <v>0</v>
      </c>
      <c r="D7" s="289">
        <v>155777362.96000001</v>
      </c>
      <c r="E7" s="290">
        <f t="shared" si="0"/>
        <v>0</v>
      </c>
      <c r="F7" s="291">
        <v>5</v>
      </c>
      <c r="G7" s="1"/>
      <c r="H7" s="1"/>
      <c r="I7" s="292">
        <v>2691045.76</v>
      </c>
      <c r="J7" s="293">
        <v>184104591.50999999</v>
      </c>
      <c r="K7" s="294">
        <f t="shared" si="1"/>
        <v>1.46</v>
      </c>
      <c r="L7" s="296">
        <v>3</v>
      </c>
    </row>
    <row r="8" spans="1:12" ht="30">
      <c r="A8" s="193">
        <v>604</v>
      </c>
      <c r="B8" s="242" t="s">
        <v>49</v>
      </c>
      <c r="C8" s="288">
        <v>0.25</v>
      </c>
      <c r="D8" s="289">
        <v>173217519.75999999</v>
      </c>
      <c r="E8" s="290">
        <f t="shared" si="0"/>
        <v>0</v>
      </c>
      <c r="F8" s="291">
        <v>5</v>
      </c>
      <c r="G8" s="1"/>
      <c r="H8" s="1"/>
      <c r="I8" s="292">
        <v>0</v>
      </c>
      <c r="J8" s="293">
        <v>141782311.86000001</v>
      </c>
      <c r="K8" s="294">
        <f t="shared" si="1"/>
        <v>0</v>
      </c>
      <c r="L8" s="295">
        <v>5</v>
      </c>
    </row>
    <row r="9" spans="1:12" ht="45">
      <c r="A9" s="193">
        <v>605</v>
      </c>
      <c r="B9" s="242" t="s">
        <v>45</v>
      </c>
      <c r="C9" s="288">
        <v>0</v>
      </c>
      <c r="D9" s="289">
        <v>40344538.270000003</v>
      </c>
      <c r="E9" s="290">
        <f t="shared" si="0"/>
        <v>0</v>
      </c>
      <c r="F9" s="291">
        <v>5</v>
      </c>
      <c r="G9" s="1"/>
      <c r="H9" s="1"/>
      <c r="I9" s="292">
        <v>99.44</v>
      </c>
      <c r="J9" s="293">
        <v>33158265.710000001</v>
      </c>
      <c r="K9" s="294">
        <f t="shared" si="1"/>
        <v>0</v>
      </c>
      <c r="L9" s="295">
        <v>5</v>
      </c>
    </row>
    <row r="10" spans="1:12" ht="30">
      <c r="A10" s="193">
        <v>606</v>
      </c>
      <c r="B10" s="242" t="s">
        <v>46</v>
      </c>
      <c r="C10" s="288">
        <v>476.01</v>
      </c>
      <c r="D10" s="289">
        <v>4615041935.0900002</v>
      </c>
      <c r="E10" s="290">
        <f t="shared" ref="E10:E11" si="2">ROUND(C10/D10*100,2)</f>
        <v>0</v>
      </c>
      <c r="F10" s="291">
        <v>5</v>
      </c>
      <c r="G10" s="1"/>
      <c r="H10" s="1"/>
      <c r="I10" s="292">
        <v>0</v>
      </c>
      <c r="J10" s="293">
        <v>4000802293.29</v>
      </c>
      <c r="K10" s="294">
        <f t="shared" si="1"/>
        <v>0</v>
      </c>
      <c r="L10" s="295">
        <v>5</v>
      </c>
    </row>
    <row r="11" spans="1:12" ht="30">
      <c r="A11" s="193">
        <v>607</v>
      </c>
      <c r="B11" s="242" t="s">
        <v>50</v>
      </c>
      <c r="C11" s="297">
        <v>9644</v>
      </c>
      <c r="D11" s="289">
        <v>649855807.26999998</v>
      </c>
      <c r="E11" s="290">
        <f t="shared" si="2"/>
        <v>0</v>
      </c>
      <c r="F11" s="291">
        <v>5</v>
      </c>
      <c r="G11" s="1"/>
      <c r="H11" s="1"/>
      <c r="I11" s="292">
        <v>24150.639999999999</v>
      </c>
      <c r="J11" s="293">
        <v>419927036.52999997</v>
      </c>
      <c r="K11" s="294">
        <f t="shared" si="1"/>
        <v>0.01</v>
      </c>
      <c r="L11" s="295">
        <v>5</v>
      </c>
    </row>
    <row r="12" spans="1:12" ht="45">
      <c r="A12" s="193">
        <v>609</v>
      </c>
      <c r="B12" s="242" t="s">
        <v>37</v>
      </c>
      <c r="C12" s="288">
        <v>0</v>
      </c>
      <c r="D12" s="289">
        <v>3674577936.4299998</v>
      </c>
      <c r="E12" s="290">
        <f t="shared" si="0"/>
        <v>0</v>
      </c>
      <c r="F12" s="291">
        <v>5</v>
      </c>
      <c r="G12" s="1"/>
      <c r="H12" s="1"/>
      <c r="I12" s="292">
        <v>0</v>
      </c>
      <c r="J12" s="293">
        <v>1970965182.1800001</v>
      </c>
      <c r="K12" s="294">
        <f t="shared" si="1"/>
        <v>0</v>
      </c>
      <c r="L12" s="295">
        <v>5</v>
      </c>
    </row>
    <row r="13" spans="1:12" ht="30">
      <c r="A13" s="193">
        <v>611</v>
      </c>
      <c r="B13" s="242" t="s">
        <v>47</v>
      </c>
      <c r="C13" s="288">
        <v>0</v>
      </c>
      <c r="D13" s="289">
        <v>221327330.25999999</v>
      </c>
      <c r="E13" s="290">
        <f t="shared" si="0"/>
        <v>0</v>
      </c>
      <c r="F13" s="291">
        <v>5</v>
      </c>
      <c r="G13" s="1"/>
      <c r="H13" s="1"/>
      <c r="I13" s="292">
        <v>0</v>
      </c>
      <c r="J13" s="293">
        <v>214815700.38</v>
      </c>
      <c r="K13" s="294">
        <f t="shared" si="1"/>
        <v>0</v>
      </c>
      <c r="L13" s="295">
        <v>5</v>
      </c>
    </row>
    <row r="14" spans="1:12" ht="30">
      <c r="A14" s="193">
        <v>617</v>
      </c>
      <c r="B14" s="242" t="s">
        <v>42</v>
      </c>
      <c r="C14" s="288">
        <v>0</v>
      </c>
      <c r="D14" s="289">
        <v>193091584.41999999</v>
      </c>
      <c r="E14" s="290">
        <f t="shared" si="0"/>
        <v>0</v>
      </c>
      <c r="F14" s="291">
        <v>5</v>
      </c>
      <c r="G14" s="1"/>
      <c r="H14" s="1"/>
      <c r="I14" s="292">
        <v>0</v>
      </c>
      <c r="J14" s="293">
        <v>152829436.06999999</v>
      </c>
      <c r="K14" s="294">
        <f t="shared" si="1"/>
        <v>0</v>
      </c>
      <c r="L14" s="295">
        <v>5</v>
      </c>
    </row>
    <row r="15" spans="1:12" ht="30">
      <c r="A15" s="193">
        <v>618</v>
      </c>
      <c r="B15" s="242" t="s">
        <v>38</v>
      </c>
      <c r="C15" s="288">
        <v>0</v>
      </c>
      <c r="D15" s="289">
        <v>186005577.49000001</v>
      </c>
      <c r="E15" s="290">
        <f t="shared" si="0"/>
        <v>0</v>
      </c>
      <c r="F15" s="291">
        <v>5</v>
      </c>
      <c r="G15" s="1"/>
      <c r="H15" s="1"/>
      <c r="I15" s="292">
        <v>0</v>
      </c>
      <c r="J15" s="293">
        <v>134893325.47999999</v>
      </c>
      <c r="K15" s="294">
        <f t="shared" si="1"/>
        <v>0</v>
      </c>
      <c r="L15" s="295">
        <v>5</v>
      </c>
    </row>
    <row r="16" spans="1:12" ht="30">
      <c r="A16" s="193">
        <v>619</v>
      </c>
      <c r="B16" s="242" t="s">
        <v>44</v>
      </c>
      <c r="C16" s="288">
        <v>0</v>
      </c>
      <c r="D16" s="289">
        <v>307515879.24000001</v>
      </c>
      <c r="E16" s="290">
        <f t="shared" si="0"/>
        <v>0</v>
      </c>
      <c r="F16" s="291">
        <v>5</v>
      </c>
      <c r="G16" s="1"/>
      <c r="H16" s="1"/>
      <c r="I16" s="292">
        <v>0</v>
      </c>
      <c r="J16" s="293">
        <v>239707938.72999999</v>
      </c>
      <c r="K16" s="294">
        <f t="shared" si="1"/>
        <v>0</v>
      </c>
      <c r="L16" s="295">
        <v>5</v>
      </c>
    </row>
    <row r="17" spans="1:12" ht="30">
      <c r="A17" s="193">
        <v>620</v>
      </c>
      <c r="B17" s="242" t="s">
        <v>48</v>
      </c>
      <c r="C17" s="297">
        <v>9237.25</v>
      </c>
      <c r="D17" s="289">
        <v>2232558219.2800002</v>
      </c>
      <c r="E17" s="290">
        <f>ROUND(C17/D17*100,2)</f>
        <v>0</v>
      </c>
      <c r="F17" s="291">
        <v>5</v>
      </c>
      <c r="G17" s="1"/>
      <c r="H17" s="1"/>
      <c r="I17" s="292">
        <v>0</v>
      </c>
      <c r="J17" s="293">
        <v>1452158676.8099999</v>
      </c>
      <c r="K17" s="294">
        <f t="shared" si="1"/>
        <v>0</v>
      </c>
      <c r="L17" s="295">
        <v>5</v>
      </c>
    </row>
    <row r="18" spans="1:12" ht="30">
      <c r="A18" s="193">
        <v>621</v>
      </c>
      <c r="B18" s="242" t="s">
        <v>54</v>
      </c>
      <c r="C18" s="297">
        <v>2053</v>
      </c>
      <c r="D18" s="289">
        <v>1152068014.75</v>
      </c>
      <c r="E18" s="290">
        <f t="shared" si="0"/>
        <v>0</v>
      </c>
      <c r="F18" s="291">
        <v>5</v>
      </c>
      <c r="G18" s="1"/>
      <c r="H18" s="1"/>
      <c r="I18" s="292">
        <v>0</v>
      </c>
      <c r="J18" s="293">
        <v>1130933013.6500001</v>
      </c>
      <c r="K18" s="294">
        <f t="shared" si="1"/>
        <v>0</v>
      </c>
      <c r="L18" s="295">
        <v>5</v>
      </c>
    </row>
    <row r="19" spans="1:12" ht="45">
      <c r="A19" s="193">
        <v>624</v>
      </c>
      <c r="B19" s="242" t="s">
        <v>40</v>
      </c>
      <c r="C19" s="297">
        <v>165386</v>
      </c>
      <c r="D19" s="289">
        <v>99369191.989999995</v>
      </c>
      <c r="E19" s="290">
        <f t="shared" si="0"/>
        <v>0.17</v>
      </c>
      <c r="F19" s="291">
        <v>5</v>
      </c>
      <c r="G19" s="1"/>
      <c r="H19" s="1"/>
      <c r="I19" s="292">
        <v>0</v>
      </c>
      <c r="J19" s="298">
        <v>78765447.099999994</v>
      </c>
      <c r="K19" s="294">
        <f t="shared" si="1"/>
        <v>0</v>
      </c>
      <c r="L19" s="295">
        <v>5</v>
      </c>
    </row>
    <row r="20" spans="1:12">
      <c r="A20" s="193">
        <v>600</v>
      </c>
      <c r="B20" s="242" t="s">
        <v>51</v>
      </c>
      <c r="C20" s="288">
        <v>0</v>
      </c>
      <c r="D20" s="289">
        <v>63497746.32</v>
      </c>
      <c r="E20" s="290">
        <f t="shared" si="0"/>
        <v>0</v>
      </c>
      <c r="F20" s="291">
        <v>5</v>
      </c>
      <c r="G20" s="1"/>
      <c r="H20" s="1"/>
      <c r="I20" s="189"/>
      <c r="J20" s="4"/>
    </row>
    <row r="21" spans="1:12" ht="30">
      <c r="A21" s="193">
        <v>643</v>
      </c>
      <c r="B21" s="242" t="s">
        <v>52</v>
      </c>
      <c r="C21" s="288">
        <v>0</v>
      </c>
      <c r="D21" s="289">
        <v>17025017.719999999</v>
      </c>
      <c r="E21" s="290">
        <f t="shared" si="0"/>
        <v>0</v>
      </c>
      <c r="F21" s="291">
        <v>5</v>
      </c>
      <c r="G21" s="1"/>
      <c r="H21" s="1"/>
      <c r="I21" s="189"/>
      <c r="J21" s="4"/>
    </row>
    <row r="22" spans="1:12">
      <c r="A22" s="263"/>
      <c r="B22" s="263" t="s">
        <v>23</v>
      </c>
      <c r="C22" s="299"/>
      <c r="D22" s="300"/>
      <c r="E22" s="265">
        <f>SUBTOTAL(9,E6:E21)</f>
        <v>0.17</v>
      </c>
      <c r="F22" s="301"/>
      <c r="G22" s="1"/>
      <c r="H22" s="1"/>
      <c r="I22" s="189"/>
      <c r="J22" s="4"/>
    </row>
    <row r="23" spans="1:12">
      <c r="A23" s="263"/>
      <c r="B23" s="266" t="s">
        <v>24</v>
      </c>
      <c r="C23" s="299"/>
      <c r="D23" s="300"/>
      <c r="E23" s="267">
        <f>ROUND(E22/16,2)</f>
        <v>0.01</v>
      </c>
      <c r="F23" s="301"/>
      <c r="G23" s="1"/>
      <c r="H23" s="1"/>
      <c r="I23" s="189"/>
      <c r="J23" s="4"/>
    </row>
    <row r="24" spans="1:12">
      <c r="A24" s="51"/>
      <c r="B24" s="51"/>
      <c r="C24" s="302">
        <f>SUM(C6:C21)</f>
        <v>186796.51</v>
      </c>
      <c r="D24" s="303">
        <f>SUM(D6:D21)</f>
        <v>14122691000.08</v>
      </c>
      <c r="E24" s="304"/>
      <c r="F24" s="1"/>
      <c r="G24" s="1"/>
      <c r="H24" s="1"/>
      <c r="I24" s="189"/>
      <c r="J24" s="4"/>
    </row>
    <row r="25" spans="1:12">
      <c r="A25" s="51"/>
      <c r="B25" s="51"/>
      <c r="C25" s="302">
        <v>0</v>
      </c>
      <c r="D25" s="305">
        <v>53903668.159999996</v>
      </c>
      <c r="E25" s="304"/>
      <c r="F25" s="1"/>
      <c r="G25" s="1"/>
      <c r="H25" s="1"/>
      <c r="I25" s="189"/>
      <c r="J25" s="4"/>
    </row>
    <row r="26" spans="1:12">
      <c r="C26" s="306">
        <v>0</v>
      </c>
      <c r="D26" s="307">
        <v>14435038.609999999</v>
      </c>
    </row>
    <row r="27" spans="1:12">
      <c r="C27" s="308">
        <f>C24+C25+C26</f>
        <v>186796.51</v>
      </c>
      <c r="D27" s="309">
        <f>D24+D25+D26</f>
        <v>14191029706.85</v>
      </c>
    </row>
    <row r="28" spans="1:12">
      <c r="D28" s="310"/>
    </row>
    <row r="29" spans="1:12">
      <c r="D29" s="311"/>
    </row>
  </sheetData>
  <sheetProtection formatCells="0" formatColumns="0" formatRows="0" insertColumns="0" insertRows="0" insertHyperlinks="0" deleteColumns="0" deleteRows="0" sort="0" autoFilter="0" pivotTables="0"/>
  <mergeCells count="2">
    <mergeCell ref="A1:F1"/>
    <mergeCell ref="A2:F2"/>
  </mergeCells>
  <pageMargins left="0.35433070866141736" right="0.19685039370078738" top="0.74803149606299213" bottom="0.74803149606299213" header="0.31496062992125984" footer="0.31496062992125984"/>
  <pageSetup paperSize="9" scale="77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8">
    <tabColor rgb="FF00B050"/>
  </sheetPr>
  <dimension ref="A1:L30"/>
  <sheetViews>
    <sheetView zoomScale="110" workbookViewId="0">
      <selection activeCell="E11" sqref="E11"/>
    </sheetView>
  </sheetViews>
  <sheetFormatPr defaultColWidth="9.140625" defaultRowHeight="15"/>
  <cols>
    <col min="1" max="1" width="8.42578125" style="46" customWidth="1"/>
    <col min="2" max="2" width="41.140625" style="3" customWidth="1"/>
    <col min="3" max="3" width="20.28515625" style="3" customWidth="1"/>
    <col min="4" max="4" width="23.5703125" style="3" customWidth="1"/>
    <col min="5" max="5" width="19.5703125" style="3" customWidth="1"/>
    <col min="6" max="6" width="13.140625" style="3" customWidth="1"/>
    <col min="7" max="7" width="9.140625" style="3"/>
    <col min="8" max="8" width="15.7109375" style="3" bestFit="1" customWidth="1"/>
    <col min="9" max="16384" width="9.140625" style="3"/>
  </cols>
  <sheetData>
    <row r="1" spans="1:12" s="178" customFormat="1" ht="20.25">
      <c r="A1" s="447" t="s">
        <v>107</v>
      </c>
      <c r="B1" s="447"/>
      <c r="C1" s="447"/>
      <c r="D1" s="447"/>
      <c r="E1" s="447"/>
      <c r="F1" s="447"/>
    </row>
    <row r="2" spans="1:12" ht="37.9" customHeight="1">
      <c r="A2" s="448" t="s">
        <v>190</v>
      </c>
      <c r="B2" s="448"/>
      <c r="C2" s="448"/>
      <c r="D2" s="448"/>
      <c r="E2" s="448"/>
      <c r="F2" s="448"/>
    </row>
    <row r="5" spans="1:12" ht="210">
      <c r="A5" s="47" t="s">
        <v>35</v>
      </c>
      <c r="B5" s="47" t="s">
        <v>2</v>
      </c>
      <c r="C5" s="232" t="s">
        <v>191</v>
      </c>
      <c r="D5" s="232" t="s">
        <v>188</v>
      </c>
      <c r="E5" s="47" t="s">
        <v>189</v>
      </c>
      <c r="F5" s="47" t="s">
        <v>139</v>
      </c>
    </row>
    <row r="6" spans="1:12">
      <c r="A6" s="312">
        <v>601</v>
      </c>
      <c r="B6" s="313" t="s">
        <v>13</v>
      </c>
      <c r="C6" s="195">
        <v>4413414.17</v>
      </c>
      <c r="D6" s="289">
        <v>341417338.82999998</v>
      </c>
      <c r="E6" s="314">
        <f t="shared" ref="E6:E19" si="0">ROUND(100*C6/D6,2)</f>
        <v>1.29</v>
      </c>
      <c r="F6" s="215">
        <v>5</v>
      </c>
      <c r="H6" s="270"/>
      <c r="I6" s="4"/>
      <c r="J6" s="133"/>
      <c r="K6" s="49"/>
      <c r="L6" s="53"/>
    </row>
    <row r="7" spans="1:12" ht="30">
      <c r="A7" s="84">
        <v>602</v>
      </c>
      <c r="B7" s="315" t="s">
        <v>53</v>
      </c>
      <c r="C7" s="195">
        <v>380422.12</v>
      </c>
      <c r="D7" s="289">
        <v>155777362.96000001</v>
      </c>
      <c r="E7" s="314">
        <f t="shared" si="0"/>
        <v>0.24</v>
      </c>
      <c r="F7" s="215">
        <v>1</v>
      </c>
      <c r="H7" s="270"/>
      <c r="I7" s="4"/>
      <c r="J7" s="133"/>
      <c r="K7" s="49"/>
      <c r="L7" s="53"/>
    </row>
    <row r="8" spans="1:12" ht="30">
      <c r="A8" s="84">
        <v>604</v>
      </c>
      <c r="B8" s="315" t="s">
        <v>49</v>
      </c>
      <c r="C8" s="195">
        <v>1084.45</v>
      </c>
      <c r="D8" s="289">
        <v>173217519.75999999</v>
      </c>
      <c r="E8" s="314">
        <f t="shared" si="0"/>
        <v>0</v>
      </c>
      <c r="F8" s="215">
        <v>5</v>
      </c>
      <c r="H8" s="270"/>
      <c r="I8" s="4"/>
      <c r="J8" s="133"/>
      <c r="K8" s="49"/>
      <c r="L8" s="53"/>
    </row>
    <row r="9" spans="1:12" ht="45">
      <c r="A9" s="84">
        <v>605</v>
      </c>
      <c r="B9" s="316" t="s">
        <v>45</v>
      </c>
      <c r="C9" s="195">
        <v>18006.599999999999</v>
      </c>
      <c r="D9" s="289">
        <v>40344538.270000003</v>
      </c>
      <c r="E9" s="314">
        <f t="shared" si="0"/>
        <v>0.04</v>
      </c>
      <c r="F9" s="215">
        <v>5</v>
      </c>
      <c r="H9" s="270"/>
      <c r="I9" s="4"/>
      <c r="J9" s="133"/>
      <c r="K9" s="49"/>
      <c r="L9" s="53"/>
    </row>
    <row r="10" spans="1:12" ht="30">
      <c r="A10" s="84">
        <v>606</v>
      </c>
      <c r="B10" s="315" t="s">
        <v>46</v>
      </c>
      <c r="C10" s="201">
        <v>0</v>
      </c>
      <c r="D10" s="289">
        <v>4615041935.0900002</v>
      </c>
      <c r="E10" s="314">
        <f t="shared" si="0"/>
        <v>0</v>
      </c>
      <c r="F10" s="215">
        <v>5</v>
      </c>
      <c r="H10" s="270"/>
      <c r="I10" s="4"/>
      <c r="J10" s="133"/>
      <c r="K10" s="49"/>
      <c r="L10" s="53"/>
    </row>
    <row r="11" spans="1:12" ht="30">
      <c r="A11" s="84">
        <v>607</v>
      </c>
      <c r="B11" s="315" t="s">
        <v>50</v>
      </c>
      <c r="C11" s="195">
        <v>1806.42</v>
      </c>
      <c r="D11" s="289">
        <v>649855807.26999998</v>
      </c>
      <c r="E11" s="314">
        <f t="shared" si="0"/>
        <v>0</v>
      </c>
      <c r="F11" s="215">
        <v>5</v>
      </c>
      <c r="H11" s="270"/>
      <c r="I11" s="4"/>
      <c r="J11" s="133"/>
      <c r="K11" s="49"/>
      <c r="L11" s="53"/>
    </row>
    <row r="12" spans="1:12" ht="45">
      <c r="A12" s="84">
        <v>609</v>
      </c>
      <c r="B12" s="315" t="s">
        <v>37</v>
      </c>
      <c r="C12" s="195">
        <v>23984.880000000001</v>
      </c>
      <c r="D12" s="289">
        <v>3674577936.4299998</v>
      </c>
      <c r="E12" s="314">
        <f t="shared" si="0"/>
        <v>0</v>
      </c>
      <c r="F12" s="215">
        <v>5</v>
      </c>
      <c r="H12" s="270"/>
      <c r="I12" s="4"/>
      <c r="J12" s="133"/>
      <c r="K12" s="49"/>
      <c r="L12" s="53"/>
    </row>
    <row r="13" spans="1:12" ht="30">
      <c r="A13" s="84">
        <v>611</v>
      </c>
      <c r="B13" s="315" t="s">
        <v>47</v>
      </c>
      <c r="C13" s="201">
        <v>678.25</v>
      </c>
      <c r="D13" s="289">
        <v>221327330.25999999</v>
      </c>
      <c r="E13" s="314">
        <f t="shared" si="0"/>
        <v>0</v>
      </c>
      <c r="F13" s="215">
        <v>5</v>
      </c>
      <c r="H13" s="270"/>
      <c r="I13" s="4"/>
      <c r="J13" s="133"/>
      <c r="K13" s="49"/>
      <c r="L13" s="53"/>
    </row>
    <row r="14" spans="1:12" ht="30">
      <c r="A14" s="84">
        <v>617</v>
      </c>
      <c r="B14" s="315" t="s">
        <v>42</v>
      </c>
      <c r="C14" s="195">
        <v>16146683.43</v>
      </c>
      <c r="D14" s="289">
        <v>193091584.41999999</v>
      </c>
      <c r="E14" s="314">
        <f t="shared" si="0"/>
        <v>8.36</v>
      </c>
      <c r="F14" s="215">
        <v>5</v>
      </c>
      <c r="H14" s="270"/>
      <c r="I14" s="4"/>
      <c r="J14" s="133"/>
      <c r="K14" s="49"/>
      <c r="L14" s="53"/>
    </row>
    <row r="15" spans="1:12" ht="30">
      <c r="A15" s="84">
        <v>618</v>
      </c>
      <c r="B15" s="315" t="s">
        <v>38</v>
      </c>
      <c r="C15" s="195">
        <v>30242.59</v>
      </c>
      <c r="D15" s="289">
        <v>186005577.49000001</v>
      </c>
      <c r="E15" s="314">
        <f t="shared" si="0"/>
        <v>0.02</v>
      </c>
      <c r="F15" s="215">
        <v>5</v>
      </c>
      <c r="H15" s="270"/>
      <c r="I15" s="4"/>
      <c r="J15" s="133"/>
      <c r="K15" s="49"/>
      <c r="L15" s="53"/>
    </row>
    <row r="16" spans="1:12" ht="30">
      <c r="A16" s="84">
        <v>619</v>
      </c>
      <c r="B16" s="315" t="s">
        <v>44</v>
      </c>
      <c r="C16" s="195">
        <v>2083830.71</v>
      </c>
      <c r="D16" s="289">
        <v>307515879.24000001</v>
      </c>
      <c r="E16" s="314">
        <f t="shared" si="0"/>
        <v>0.68</v>
      </c>
      <c r="F16" s="215">
        <v>3</v>
      </c>
      <c r="H16" s="270"/>
      <c r="I16" s="4"/>
      <c r="J16" s="133"/>
      <c r="K16" s="49"/>
      <c r="L16" s="53"/>
    </row>
    <row r="17" spans="1:12" ht="30">
      <c r="A17" s="84">
        <v>620</v>
      </c>
      <c r="B17" s="315" t="s">
        <v>48</v>
      </c>
      <c r="C17" s="195">
        <v>346947.59</v>
      </c>
      <c r="D17" s="289">
        <v>2232558219.2800002</v>
      </c>
      <c r="E17" s="314">
        <f t="shared" si="0"/>
        <v>0.02</v>
      </c>
      <c r="F17" s="215">
        <v>5</v>
      </c>
      <c r="H17" s="270"/>
      <c r="I17" s="4"/>
      <c r="J17" s="133"/>
      <c r="K17" s="49"/>
      <c r="L17" s="53"/>
    </row>
    <row r="18" spans="1:12" ht="30">
      <c r="A18" s="84">
        <v>621</v>
      </c>
      <c r="B18" s="315" t="s">
        <v>54</v>
      </c>
      <c r="C18" s="195">
        <v>60996.43</v>
      </c>
      <c r="D18" s="289">
        <v>1152068014.75</v>
      </c>
      <c r="E18" s="314">
        <f t="shared" si="0"/>
        <v>0.01</v>
      </c>
      <c r="F18" s="215">
        <v>5</v>
      </c>
      <c r="H18" s="270"/>
      <c r="I18" s="4"/>
      <c r="J18" s="133"/>
      <c r="K18" s="49"/>
      <c r="L18" s="53"/>
    </row>
    <row r="19" spans="1:12" ht="45">
      <c r="A19" s="84">
        <v>624</v>
      </c>
      <c r="B19" s="315" t="s">
        <v>40</v>
      </c>
      <c r="C19" s="195">
        <v>86261.52</v>
      </c>
      <c r="D19" s="289">
        <v>99369191.989999995</v>
      </c>
      <c r="E19" s="314">
        <f t="shared" si="0"/>
        <v>0.09</v>
      </c>
      <c r="F19" s="215">
        <v>5</v>
      </c>
      <c r="H19" s="270"/>
      <c r="I19" s="4"/>
      <c r="J19" s="133"/>
      <c r="K19" s="49"/>
      <c r="L19" s="53"/>
    </row>
    <row r="20" spans="1:12">
      <c r="A20" s="84">
        <v>600</v>
      </c>
      <c r="B20" s="315" t="s">
        <v>51</v>
      </c>
      <c r="C20" s="297">
        <v>46272.04</v>
      </c>
      <c r="D20" s="289">
        <v>63497746.32</v>
      </c>
      <c r="E20" s="317">
        <f t="shared" ref="E20:E21" si="1">ROUND(C20/D20*100,2)</f>
        <v>7.0000000000000007E-2</v>
      </c>
      <c r="F20" s="318">
        <v>5</v>
      </c>
      <c r="H20" s="258"/>
      <c r="I20" s="4"/>
      <c r="J20" s="53"/>
      <c r="L20" s="53"/>
    </row>
    <row r="21" spans="1:12" ht="30">
      <c r="A21" s="84">
        <v>643</v>
      </c>
      <c r="B21" s="315" t="s">
        <v>52</v>
      </c>
      <c r="C21" s="297">
        <v>3782.08</v>
      </c>
      <c r="D21" s="289">
        <v>17025017.719999999</v>
      </c>
      <c r="E21" s="317">
        <f t="shared" si="1"/>
        <v>0.02</v>
      </c>
      <c r="F21" s="318">
        <v>5</v>
      </c>
      <c r="H21" s="258"/>
      <c r="I21" s="4"/>
      <c r="J21" s="53"/>
      <c r="L21" s="53"/>
    </row>
    <row r="22" spans="1:12">
      <c r="A22" s="221"/>
      <c r="B22" s="221"/>
      <c r="C22" s="319"/>
      <c r="D22" s="222"/>
      <c r="E22" s="320"/>
      <c r="F22" s="223"/>
      <c r="H22" s="258"/>
      <c r="I22" s="4"/>
      <c r="J22" s="53"/>
      <c r="L22" s="53"/>
    </row>
    <row r="23" spans="1:12">
      <c r="A23" s="221"/>
      <c r="B23" s="221" t="s">
        <v>23</v>
      </c>
      <c r="C23" s="319"/>
      <c r="D23" s="222"/>
      <c r="E23" s="321">
        <f>SUBTOTAL(9,E6:E21)</f>
        <v>10.839999999999998</v>
      </c>
      <c r="F23" s="223"/>
      <c r="H23" s="258"/>
      <c r="I23" s="4"/>
      <c r="J23" s="53"/>
      <c r="L23" s="53"/>
    </row>
    <row r="24" spans="1:12">
      <c r="A24" s="221"/>
      <c r="B24" s="225" t="s">
        <v>24</v>
      </c>
      <c r="C24" s="319"/>
      <c r="D24" s="222"/>
      <c r="E24" s="322">
        <f>ROUND(E23/16,2)</f>
        <v>0.68</v>
      </c>
      <c r="F24" s="223"/>
      <c r="H24" s="258"/>
      <c r="I24" s="4"/>
      <c r="J24" s="53"/>
      <c r="L24" s="53"/>
    </row>
    <row r="25" spans="1:12">
      <c r="A25" s="51"/>
      <c r="B25" s="51"/>
      <c r="C25" s="323"/>
      <c r="D25" s="258"/>
      <c r="E25" s="53"/>
      <c r="H25" s="258"/>
      <c r="I25" s="4"/>
      <c r="J25" s="53"/>
      <c r="L25" s="53"/>
    </row>
    <row r="26" spans="1:12">
      <c r="A26" s="51"/>
      <c r="B26" s="51"/>
      <c r="C26" s="323"/>
      <c r="D26" s="258"/>
      <c r="E26" s="53"/>
      <c r="H26" s="258"/>
      <c r="I26" s="4"/>
      <c r="J26" s="53"/>
      <c r="L26" s="53"/>
    </row>
    <row r="27" spans="1:12">
      <c r="C27" s="324">
        <f>SUM(C6:C21)</f>
        <v>23644413.279999997</v>
      </c>
      <c r="D27" s="324">
        <f>SUM(D6:D21)</f>
        <v>14122691000.08</v>
      </c>
      <c r="H27" s="4"/>
    </row>
    <row r="28" spans="1:12">
      <c r="C28" s="310">
        <v>7.77</v>
      </c>
      <c r="D28" s="324">
        <v>53903668.159999996</v>
      </c>
      <c r="H28" s="325"/>
    </row>
    <row r="29" spans="1:12">
      <c r="C29" s="310">
        <v>0</v>
      </c>
      <c r="D29" s="324">
        <v>14435038.609999999</v>
      </c>
      <c r="H29" s="4"/>
    </row>
    <row r="30" spans="1:12">
      <c r="C30" s="326">
        <f>SUM(C27:C29)</f>
        <v>23644421.049999997</v>
      </c>
      <c r="D30" s="326">
        <f>SUM(D27:D29)</f>
        <v>14191029706.85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F1"/>
    <mergeCell ref="A2:F2"/>
  </mergeCells>
  <pageMargins left="0.35433070866141736" right="0.19685039370078738" top="0.74803149606299213" bottom="0.74803149606299213" header="0.31496062992125984" footer="0.31496062992125984"/>
  <pageSetup paperSize="9" scale="77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9">
    <tabColor rgb="FF00B050"/>
  </sheetPr>
  <dimension ref="A1:Y29"/>
  <sheetViews>
    <sheetView topLeftCell="A13" zoomScale="110" workbookViewId="0">
      <selection activeCell="E11" sqref="E11"/>
    </sheetView>
  </sheetViews>
  <sheetFormatPr defaultColWidth="9.140625" defaultRowHeight="15"/>
  <cols>
    <col min="1" max="1" width="8.42578125" style="46" customWidth="1"/>
    <col min="2" max="2" width="41.140625" style="3" customWidth="1"/>
    <col min="3" max="3" width="20.28515625" style="3" customWidth="1"/>
    <col min="4" max="4" width="23.5703125" style="3" customWidth="1"/>
    <col min="5" max="5" width="19.5703125" style="3" customWidth="1"/>
    <col min="6" max="16" width="13.140625" style="3" customWidth="1"/>
    <col min="17" max="18" width="9.140625" style="3"/>
    <col min="19" max="19" width="15.7109375" style="3" bestFit="1" customWidth="1"/>
    <col min="20" max="20" width="12.85546875" style="3" bestFit="1" customWidth="1"/>
    <col min="21" max="16384" width="9.140625" style="3"/>
  </cols>
  <sheetData>
    <row r="1" spans="1:25" s="178" customFormat="1" ht="20.25">
      <c r="A1" s="447" t="s">
        <v>107</v>
      </c>
      <c r="B1" s="447"/>
      <c r="C1" s="447"/>
      <c r="D1" s="447"/>
      <c r="E1" s="447"/>
      <c r="F1" s="447"/>
      <c r="G1" s="179"/>
      <c r="H1" s="179"/>
      <c r="I1" s="179"/>
      <c r="J1" s="179"/>
      <c r="K1" s="179"/>
      <c r="L1" s="179"/>
      <c r="M1" s="179"/>
      <c r="N1" s="179"/>
      <c r="O1" s="179"/>
      <c r="P1" s="179"/>
    </row>
    <row r="2" spans="1:25" ht="19.5">
      <c r="A2" s="448" t="s">
        <v>192</v>
      </c>
      <c r="B2" s="448"/>
      <c r="C2" s="448"/>
      <c r="D2" s="448"/>
      <c r="E2" s="448"/>
      <c r="F2" s="448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5" spans="1:25" ht="135">
      <c r="A5" s="47" t="s">
        <v>35</v>
      </c>
      <c r="B5" s="47" t="s">
        <v>2</v>
      </c>
      <c r="C5" s="232" t="s">
        <v>193</v>
      </c>
      <c r="D5" s="232" t="s">
        <v>194</v>
      </c>
      <c r="E5" s="47" t="s">
        <v>195</v>
      </c>
      <c r="F5" s="47" t="s">
        <v>139</v>
      </c>
      <c r="G5" s="191"/>
      <c r="H5" s="191"/>
      <c r="I5" s="191"/>
      <c r="J5" s="191"/>
      <c r="K5" s="191"/>
      <c r="L5" s="191"/>
      <c r="M5" s="191"/>
      <c r="N5" s="191"/>
      <c r="O5" s="191"/>
      <c r="P5" s="191"/>
    </row>
    <row r="6" spans="1:25">
      <c r="A6" s="219">
        <v>601</v>
      </c>
      <c r="B6" s="239" t="s">
        <v>13</v>
      </c>
      <c r="C6" s="269">
        <v>12312093.189999999</v>
      </c>
      <c r="D6" s="269">
        <v>4413414.17</v>
      </c>
      <c r="E6" s="327">
        <f t="shared" ref="E6:E19" si="0">ROUND((C6-D6)/C6*100,2)</f>
        <v>64.150000000000006</v>
      </c>
      <c r="F6" s="215">
        <v>0</v>
      </c>
      <c r="H6" s="328">
        <v>4645.25</v>
      </c>
      <c r="I6" s="270">
        <v>5156.33</v>
      </c>
      <c r="J6" s="329">
        <v>0</v>
      </c>
      <c r="K6" s="49">
        <v>0</v>
      </c>
      <c r="M6" s="4"/>
      <c r="Q6" s="3">
        <v>0</v>
      </c>
      <c r="R6" s="3">
        <f t="shared" ref="R6:R19" si="1">F6-Q6</f>
        <v>0</v>
      </c>
      <c r="S6" s="270">
        <v>4645.25</v>
      </c>
      <c r="T6" s="4">
        <v>5156.33</v>
      </c>
      <c r="U6" s="133">
        <v>0</v>
      </c>
      <c r="V6" s="49">
        <v>0</v>
      </c>
      <c r="W6" s="53">
        <f t="shared" ref="W6:W19" si="2">C6-S6</f>
        <v>12307447.939999999</v>
      </c>
      <c r="X6" s="4">
        <f t="shared" ref="X6:X19" si="3">T6-D6</f>
        <v>-4408257.84</v>
      </c>
      <c r="Y6" s="4">
        <f t="shared" ref="Y6:Y19" si="4">E6-V6</f>
        <v>64.150000000000006</v>
      </c>
    </row>
    <row r="7" spans="1:25" ht="30">
      <c r="A7" s="193">
        <v>602</v>
      </c>
      <c r="B7" s="242" t="s">
        <v>53</v>
      </c>
      <c r="C7" s="269">
        <v>5532411.1200000001</v>
      </c>
      <c r="D7" s="269">
        <v>380422.12</v>
      </c>
      <c r="E7" s="327">
        <f t="shared" si="0"/>
        <v>93.12</v>
      </c>
      <c r="F7" s="215">
        <v>0</v>
      </c>
      <c r="H7" s="330">
        <v>0</v>
      </c>
      <c r="I7" s="270">
        <v>426127.12</v>
      </c>
      <c r="J7" s="329">
        <v>0</v>
      </c>
      <c r="K7" s="49">
        <v>0</v>
      </c>
      <c r="M7" s="4"/>
      <c r="Q7" s="3">
        <v>0</v>
      </c>
      <c r="R7" s="3">
        <f t="shared" si="1"/>
        <v>0</v>
      </c>
      <c r="S7" s="270">
        <v>0</v>
      </c>
      <c r="T7" s="4">
        <v>426127.12</v>
      </c>
      <c r="U7" s="133">
        <v>0</v>
      </c>
      <c r="V7" s="49">
        <v>0</v>
      </c>
      <c r="W7" s="53">
        <f t="shared" si="2"/>
        <v>5532411.1200000001</v>
      </c>
      <c r="X7" s="4">
        <f t="shared" si="3"/>
        <v>45705</v>
      </c>
      <c r="Y7" s="4">
        <f t="shared" si="4"/>
        <v>93.12</v>
      </c>
    </row>
    <row r="8" spans="1:25" ht="30">
      <c r="A8" s="193">
        <v>604</v>
      </c>
      <c r="B8" s="242" t="s">
        <v>49</v>
      </c>
      <c r="C8" s="331">
        <v>899.16</v>
      </c>
      <c r="D8" s="269">
        <v>1084.7</v>
      </c>
      <c r="E8" s="327">
        <f t="shared" si="0"/>
        <v>-20.63</v>
      </c>
      <c r="F8" s="215">
        <v>0</v>
      </c>
      <c r="H8" s="328">
        <v>3465.29</v>
      </c>
      <c r="I8" s="270">
        <v>2302.69</v>
      </c>
      <c r="J8" s="272">
        <v>33.549999999999997</v>
      </c>
      <c r="K8" s="49">
        <v>3</v>
      </c>
      <c r="M8" s="4"/>
      <c r="Q8" s="3">
        <v>3</v>
      </c>
      <c r="R8" s="3">
        <f t="shared" si="1"/>
        <v>-3</v>
      </c>
      <c r="S8" s="270">
        <v>3465.29</v>
      </c>
      <c r="T8" s="4">
        <v>2302.69</v>
      </c>
      <c r="U8" s="133">
        <v>33.549999999999997</v>
      </c>
      <c r="V8" s="49">
        <v>3</v>
      </c>
      <c r="W8" s="53">
        <f t="shared" si="2"/>
        <v>-2566.13</v>
      </c>
      <c r="X8" s="4">
        <f t="shared" si="3"/>
        <v>1217.99</v>
      </c>
      <c r="Y8" s="4">
        <f t="shared" si="4"/>
        <v>-23.63</v>
      </c>
    </row>
    <row r="9" spans="1:25" ht="45">
      <c r="A9" s="193">
        <v>605</v>
      </c>
      <c r="B9" s="242" t="s">
        <v>45</v>
      </c>
      <c r="C9" s="269">
        <v>21027.14</v>
      </c>
      <c r="D9" s="269">
        <v>18006.599999999999</v>
      </c>
      <c r="E9" s="327">
        <f t="shared" si="0"/>
        <v>14.36</v>
      </c>
      <c r="F9" s="215">
        <v>5</v>
      </c>
      <c r="H9" s="328">
        <v>1279.47</v>
      </c>
      <c r="I9" s="270">
        <v>8342.5300000000007</v>
      </c>
      <c r="J9" s="329">
        <v>-552.03</v>
      </c>
      <c r="K9" s="49">
        <v>0</v>
      </c>
      <c r="M9" s="4"/>
      <c r="Q9" s="3">
        <v>0</v>
      </c>
      <c r="R9" s="3">
        <f t="shared" si="1"/>
        <v>5</v>
      </c>
      <c r="S9" s="270">
        <v>1279.47</v>
      </c>
      <c r="T9" s="4">
        <v>8342.5300000000007</v>
      </c>
      <c r="U9" s="133">
        <v>-552.03</v>
      </c>
      <c r="V9" s="49">
        <v>0</v>
      </c>
      <c r="W9" s="53">
        <f t="shared" si="2"/>
        <v>19747.669999999998</v>
      </c>
      <c r="X9" s="4">
        <f t="shared" si="3"/>
        <v>-9664.0699999999979</v>
      </c>
      <c r="Y9" s="4">
        <f t="shared" si="4"/>
        <v>14.36</v>
      </c>
    </row>
    <row r="10" spans="1:25" ht="30">
      <c r="A10" s="193">
        <v>606</v>
      </c>
      <c r="B10" s="242" t="s">
        <v>46</v>
      </c>
      <c r="C10" s="331">
        <v>0</v>
      </c>
      <c r="D10" s="331">
        <v>476.01</v>
      </c>
      <c r="E10" s="327">
        <v>0</v>
      </c>
      <c r="F10" s="215">
        <v>0</v>
      </c>
      <c r="H10" s="330">
        <v>0</v>
      </c>
      <c r="I10" s="270">
        <v>99834.95</v>
      </c>
      <c r="J10" s="329">
        <v>0</v>
      </c>
      <c r="K10" s="49">
        <v>0</v>
      </c>
      <c r="M10" s="4"/>
      <c r="Q10" s="3">
        <v>0</v>
      </c>
      <c r="R10" s="3">
        <f t="shared" si="1"/>
        <v>0</v>
      </c>
      <c r="S10" s="270">
        <v>0</v>
      </c>
      <c r="T10" s="4">
        <v>99834.95</v>
      </c>
      <c r="U10" s="133">
        <v>0</v>
      </c>
      <c r="V10" s="49">
        <v>0</v>
      </c>
      <c r="W10" s="53">
        <f t="shared" si="2"/>
        <v>0</v>
      </c>
      <c r="X10" s="4">
        <f t="shared" si="3"/>
        <v>99358.94</v>
      </c>
      <c r="Y10" s="4">
        <f t="shared" si="4"/>
        <v>0</v>
      </c>
    </row>
    <row r="11" spans="1:25" ht="30">
      <c r="A11" s="193">
        <v>607</v>
      </c>
      <c r="B11" s="242" t="s">
        <v>50</v>
      </c>
      <c r="C11" s="269">
        <v>21681.07</v>
      </c>
      <c r="D11" s="269">
        <v>11450.42</v>
      </c>
      <c r="E11" s="327">
        <f t="shared" si="0"/>
        <v>47.19</v>
      </c>
      <c r="F11" s="215">
        <v>0</v>
      </c>
      <c r="H11" s="328">
        <v>32991.800000000003</v>
      </c>
      <c r="I11" s="270">
        <v>1387064.7</v>
      </c>
      <c r="J11" s="329">
        <v>-4104.2700000000004</v>
      </c>
      <c r="K11" s="49">
        <v>0</v>
      </c>
      <c r="M11" s="4"/>
      <c r="Q11" s="3">
        <v>0</v>
      </c>
      <c r="R11" s="3">
        <f t="shared" si="1"/>
        <v>0</v>
      </c>
      <c r="S11" s="270">
        <v>32991.800000000003</v>
      </c>
      <c r="T11" s="4">
        <v>1387064.7</v>
      </c>
      <c r="U11" s="133">
        <v>-4104.2700000000004</v>
      </c>
      <c r="V11" s="49">
        <v>0</v>
      </c>
      <c r="W11" s="53">
        <f t="shared" si="2"/>
        <v>-11310.730000000003</v>
      </c>
      <c r="X11" s="4">
        <f t="shared" si="3"/>
        <v>1375614.28</v>
      </c>
      <c r="Y11" s="4">
        <f t="shared" si="4"/>
        <v>47.19</v>
      </c>
    </row>
    <row r="12" spans="1:25" ht="45">
      <c r="A12" s="193">
        <v>609</v>
      </c>
      <c r="B12" s="242" t="s">
        <v>37</v>
      </c>
      <c r="C12" s="269">
        <v>42444.53</v>
      </c>
      <c r="D12" s="269">
        <v>23984.880000000001</v>
      </c>
      <c r="E12" s="327">
        <f t="shared" si="0"/>
        <v>43.49</v>
      </c>
      <c r="F12" s="215">
        <v>5</v>
      </c>
      <c r="H12" s="330">
        <v>3606.68</v>
      </c>
      <c r="I12" s="270">
        <v>0</v>
      </c>
      <c r="J12" s="271">
        <v>100</v>
      </c>
      <c r="K12" s="49">
        <v>5</v>
      </c>
      <c r="M12" s="4"/>
      <c r="Q12" s="3">
        <v>5</v>
      </c>
      <c r="R12" s="3">
        <f t="shared" si="1"/>
        <v>0</v>
      </c>
      <c r="S12" s="270">
        <v>3606.68</v>
      </c>
      <c r="T12" s="4">
        <v>0</v>
      </c>
      <c r="U12" s="133">
        <v>100</v>
      </c>
      <c r="V12" s="49">
        <v>5</v>
      </c>
      <c r="W12" s="53">
        <f t="shared" si="2"/>
        <v>38837.85</v>
      </c>
      <c r="X12" s="4">
        <f t="shared" si="3"/>
        <v>-23984.880000000001</v>
      </c>
      <c r="Y12" s="4">
        <f t="shared" si="4"/>
        <v>38.49</v>
      </c>
    </row>
    <row r="13" spans="1:25" ht="30">
      <c r="A13" s="193">
        <v>611</v>
      </c>
      <c r="B13" s="242" t="s">
        <v>47</v>
      </c>
      <c r="C13" s="269">
        <v>2272751.5699999998</v>
      </c>
      <c r="D13" s="331">
        <v>678.25</v>
      </c>
      <c r="E13" s="327">
        <f t="shared" si="0"/>
        <v>99.97</v>
      </c>
      <c r="F13" s="215">
        <v>2</v>
      </c>
      <c r="H13" s="330">
        <v>2231.75</v>
      </c>
      <c r="I13" s="270">
        <v>101617.25</v>
      </c>
      <c r="J13" s="329">
        <v>0</v>
      </c>
      <c r="K13" s="49">
        <v>0</v>
      </c>
      <c r="M13" s="4"/>
      <c r="Q13" s="3">
        <v>0</v>
      </c>
      <c r="R13" s="3">
        <f t="shared" si="1"/>
        <v>2</v>
      </c>
      <c r="S13" s="270">
        <v>2231.75</v>
      </c>
      <c r="T13" s="4">
        <v>101617.25</v>
      </c>
      <c r="U13" s="133">
        <v>0</v>
      </c>
      <c r="V13" s="49">
        <v>0</v>
      </c>
      <c r="W13" s="53">
        <f t="shared" si="2"/>
        <v>2270519.8199999998</v>
      </c>
      <c r="X13" s="4">
        <f t="shared" si="3"/>
        <v>100939</v>
      </c>
      <c r="Y13" s="4">
        <f t="shared" si="4"/>
        <v>99.97</v>
      </c>
    </row>
    <row r="14" spans="1:25" ht="30">
      <c r="A14" s="193">
        <v>617</v>
      </c>
      <c r="B14" s="242" t="s">
        <v>42</v>
      </c>
      <c r="C14" s="269">
        <v>1881026</v>
      </c>
      <c r="D14" s="269">
        <v>16146683.43</v>
      </c>
      <c r="E14" s="327">
        <f t="shared" si="0"/>
        <v>-758.4</v>
      </c>
      <c r="F14" s="215">
        <v>5</v>
      </c>
      <c r="H14" s="330">
        <v>0</v>
      </c>
      <c r="I14" s="270">
        <v>2449111.13</v>
      </c>
      <c r="J14" s="329">
        <v>0</v>
      </c>
      <c r="K14" s="49">
        <v>0</v>
      </c>
      <c r="M14" s="4"/>
      <c r="Q14" s="3">
        <v>0</v>
      </c>
      <c r="R14" s="3">
        <f t="shared" si="1"/>
        <v>5</v>
      </c>
      <c r="S14" s="270">
        <v>0</v>
      </c>
      <c r="T14" s="4">
        <v>2449111.13</v>
      </c>
      <c r="U14" s="133">
        <v>0</v>
      </c>
      <c r="V14" s="49">
        <v>0</v>
      </c>
      <c r="W14" s="53">
        <f t="shared" si="2"/>
        <v>1881026</v>
      </c>
      <c r="X14" s="4">
        <f t="shared" si="3"/>
        <v>-13697572.300000001</v>
      </c>
      <c r="Y14" s="4">
        <f t="shared" si="4"/>
        <v>-758.4</v>
      </c>
    </row>
    <row r="15" spans="1:25" ht="30">
      <c r="A15" s="193">
        <v>618</v>
      </c>
      <c r="B15" s="242" t="s">
        <v>38</v>
      </c>
      <c r="C15" s="269">
        <v>67428.600000000006</v>
      </c>
      <c r="D15" s="269">
        <v>30242.59</v>
      </c>
      <c r="E15" s="327">
        <f t="shared" si="0"/>
        <v>55.15</v>
      </c>
      <c r="F15" s="215">
        <v>0</v>
      </c>
      <c r="H15" s="328">
        <v>9641.9500000000007</v>
      </c>
      <c r="I15" s="270">
        <v>11050.46</v>
      </c>
      <c r="J15" s="329">
        <v>-14.61</v>
      </c>
      <c r="K15" s="49">
        <v>0</v>
      </c>
      <c r="M15" s="4"/>
      <c r="Q15" s="3">
        <v>0</v>
      </c>
      <c r="R15" s="3">
        <f t="shared" si="1"/>
        <v>0</v>
      </c>
      <c r="S15" s="270">
        <v>9641.9500000000007</v>
      </c>
      <c r="T15" s="4">
        <v>11050.46</v>
      </c>
      <c r="U15" s="133">
        <v>-14.61</v>
      </c>
      <c r="V15" s="49">
        <v>0</v>
      </c>
      <c r="W15" s="53">
        <f t="shared" si="2"/>
        <v>57786.650000000009</v>
      </c>
      <c r="X15" s="4">
        <f t="shared" si="3"/>
        <v>-19192.13</v>
      </c>
      <c r="Y15" s="4">
        <f t="shared" si="4"/>
        <v>55.15</v>
      </c>
    </row>
    <row r="16" spans="1:25" ht="30">
      <c r="A16" s="193">
        <v>619</v>
      </c>
      <c r="B16" s="242" t="s">
        <v>44</v>
      </c>
      <c r="C16" s="269">
        <v>8534397.7300000004</v>
      </c>
      <c r="D16" s="269">
        <v>2083830.71</v>
      </c>
      <c r="E16" s="327">
        <f t="shared" si="0"/>
        <v>75.58</v>
      </c>
      <c r="F16" s="215">
        <v>0</v>
      </c>
      <c r="H16" s="328">
        <v>11200.68</v>
      </c>
      <c r="I16" s="270">
        <v>11203.91</v>
      </c>
      <c r="J16" s="329">
        <v>-0.03</v>
      </c>
      <c r="K16" s="49">
        <v>0</v>
      </c>
      <c r="M16" s="4"/>
      <c r="Q16" s="3">
        <v>0</v>
      </c>
      <c r="R16" s="3">
        <f t="shared" si="1"/>
        <v>0</v>
      </c>
      <c r="S16" s="270">
        <v>11200.68</v>
      </c>
      <c r="T16" s="4">
        <v>11203.91</v>
      </c>
      <c r="U16" s="133">
        <v>-0.03</v>
      </c>
      <c r="V16" s="49">
        <v>0</v>
      </c>
      <c r="W16" s="53">
        <f t="shared" si="2"/>
        <v>8523197.0500000007</v>
      </c>
      <c r="X16" s="4">
        <f t="shared" si="3"/>
        <v>-2072626.8</v>
      </c>
      <c r="Y16" s="4">
        <f t="shared" si="4"/>
        <v>75.58</v>
      </c>
    </row>
    <row r="17" spans="1:25" ht="30">
      <c r="A17" s="193">
        <v>620</v>
      </c>
      <c r="B17" s="242" t="s">
        <v>48</v>
      </c>
      <c r="C17" s="269">
        <v>15650397.880000001</v>
      </c>
      <c r="D17" s="269">
        <v>356184.84</v>
      </c>
      <c r="E17" s="327">
        <f t="shared" si="0"/>
        <v>97.72</v>
      </c>
      <c r="F17" s="215">
        <v>1</v>
      </c>
      <c r="H17" s="328">
        <v>5060124.12</v>
      </c>
      <c r="I17" s="270">
        <v>690330.92</v>
      </c>
      <c r="J17" s="271">
        <v>86.36</v>
      </c>
      <c r="K17" s="49">
        <v>5</v>
      </c>
      <c r="M17" s="4"/>
      <c r="Q17" s="3">
        <v>5</v>
      </c>
      <c r="R17" s="3">
        <f t="shared" si="1"/>
        <v>-4</v>
      </c>
      <c r="S17" s="270">
        <v>5060124.12</v>
      </c>
      <c r="T17" s="4">
        <v>690330.92</v>
      </c>
      <c r="U17" s="133">
        <v>86.36</v>
      </c>
      <c r="V17" s="49">
        <v>5</v>
      </c>
      <c r="W17" s="53">
        <f t="shared" si="2"/>
        <v>10590273.760000002</v>
      </c>
      <c r="X17" s="4">
        <f t="shared" si="3"/>
        <v>334146.08</v>
      </c>
      <c r="Y17" s="4">
        <f t="shared" si="4"/>
        <v>92.72</v>
      </c>
    </row>
    <row r="18" spans="1:25" ht="30">
      <c r="A18" s="193">
        <v>621</v>
      </c>
      <c r="B18" s="242" t="s">
        <v>54</v>
      </c>
      <c r="C18" s="269">
        <v>5473751.5599999996</v>
      </c>
      <c r="D18" s="269">
        <v>63049.43</v>
      </c>
      <c r="E18" s="327">
        <f t="shared" si="0"/>
        <v>98.85</v>
      </c>
      <c r="F18" s="215">
        <v>0</v>
      </c>
      <c r="H18" s="328">
        <v>2541660.7400000002</v>
      </c>
      <c r="I18" s="270">
        <v>24703929.27</v>
      </c>
      <c r="J18" s="329">
        <v>0</v>
      </c>
      <c r="K18" s="49">
        <v>0</v>
      </c>
      <c r="M18" s="4"/>
      <c r="Q18" s="3">
        <v>0</v>
      </c>
      <c r="R18" s="3">
        <f t="shared" si="1"/>
        <v>0</v>
      </c>
      <c r="S18" s="270">
        <v>2541660.7400000002</v>
      </c>
      <c r="T18" s="4">
        <v>24703929.27</v>
      </c>
      <c r="U18" s="133">
        <v>0</v>
      </c>
      <c r="V18" s="49">
        <v>0</v>
      </c>
      <c r="W18" s="53">
        <f t="shared" si="2"/>
        <v>2932090.8199999994</v>
      </c>
      <c r="X18" s="4">
        <f t="shared" si="3"/>
        <v>24640879.84</v>
      </c>
      <c r="Y18" s="4">
        <f t="shared" si="4"/>
        <v>98.85</v>
      </c>
    </row>
    <row r="19" spans="1:25" ht="45">
      <c r="A19" s="193">
        <v>624</v>
      </c>
      <c r="B19" s="242" t="s">
        <v>40</v>
      </c>
      <c r="C19" s="269">
        <v>862323.81</v>
      </c>
      <c r="D19" s="269">
        <v>251647.52</v>
      </c>
      <c r="E19" s="327">
        <f t="shared" si="0"/>
        <v>70.819999999999993</v>
      </c>
      <c r="F19" s="215">
        <v>1</v>
      </c>
      <c r="H19" s="328">
        <v>1589530.29</v>
      </c>
      <c r="I19" s="274">
        <v>0</v>
      </c>
      <c r="J19" s="271">
        <v>100</v>
      </c>
      <c r="K19" s="49">
        <v>5</v>
      </c>
      <c r="L19" s="4"/>
      <c r="M19" s="4"/>
      <c r="Q19" s="3">
        <v>5</v>
      </c>
      <c r="R19" s="3">
        <f t="shared" si="1"/>
        <v>-4</v>
      </c>
      <c r="S19" s="270">
        <v>1589530.29</v>
      </c>
      <c r="T19" s="4">
        <v>0</v>
      </c>
      <c r="U19" s="133">
        <v>100</v>
      </c>
      <c r="V19" s="49">
        <v>5</v>
      </c>
      <c r="W19" s="53">
        <f t="shared" si="2"/>
        <v>-727206.48</v>
      </c>
      <c r="X19" s="4">
        <f t="shared" si="3"/>
        <v>-251647.52</v>
      </c>
      <c r="Y19" s="4">
        <f t="shared" si="4"/>
        <v>65.819999999999993</v>
      </c>
    </row>
    <row r="20" spans="1:25">
      <c r="A20" s="193">
        <v>600</v>
      </c>
      <c r="B20" s="242" t="s">
        <v>51</v>
      </c>
      <c r="C20" s="269">
        <v>41139.99</v>
      </c>
      <c r="D20" s="269">
        <v>46272.04</v>
      </c>
      <c r="E20" s="327">
        <f>ROUND((C20-D20)/C20*100,2)</f>
        <v>-12.47</v>
      </c>
      <c r="F20" s="215">
        <v>2</v>
      </c>
      <c r="H20" s="323"/>
      <c r="I20" s="258"/>
      <c r="J20" s="275"/>
      <c r="M20" s="4"/>
      <c r="S20" s="258"/>
      <c r="T20" s="4"/>
      <c r="U20" s="53"/>
      <c r="W20" s="53"/>
      <c r="X20" s="4"/>
      <c r="Y20" s="4"/>
    </row>
    <row r="21" spans="1:25" ht="30">
      <c r="A21" s="193">
        <v>643</v>
      </c>
      <c r="B21" s="242" t="s">
        <v>52</v>
      </c>
      <c r="C21" s="331">
        <v>0</v>
      </c>
      <c r="D21" s="269">
        <v>3782.08</v>
      </c>
      <c r="E21" s="327">
        <v>0</v>
      </c>
      <c r="F21" s="215">
        <v>0</v>
      </c>
      <c r="H21" s="323"/>
      <c r="I21" s="258"/>
      <c r="J21" s="332"/>
      <c r="M21" s="4"/>
      <c r="S21" s="258"/>
      <c r="T21" s="4"/>
      <c r="U21" s="53"/>
      <c r="W21" s="53"/>
    </row>
    <row r="22" spans="1:25">
      <c r="A22" s="263"/>
      <c r="B22" s="263" t="s">
        <v>23</v>
      </c>
      <c r="C22" s="319"/>
      <c r="D22" s="333"/>
      <c r="E22" s="321">
        <f>SUBTOTAL(9,E6:E20)</f>
        <v>-31.100000000000051</v>
      </c>
      <c r="F22" s="223"/>
      <c r="H22" s="323"/>
      <c r="I22" s="258"/>
      <c r="J22" s="334">
        <f>SUBTOTAL(9,J6:J19)</f>
        <v>-4351.03</v>
      </c>
      <c r="S22" s="258"/>
      <c r="T22" s="4"/>
      <c r="U22" s="53"/>
      <c r="W22" s="53"/>
    </row>
    <row r="23" spans="1:25">
      <c r="A23" s="263"/>
      <c r="B23" s="266" t="s">
        <v>24</v>
      </c>
      <c r="C23" s="319"/>
      <c r="D23" s="222"/>
      <c r="E23" s="322">
        <f>ROUND(E22/16,2)</f>
        <v>-1.94</v>
      </c>
      <c r="F23" s="223"/>
      <c r="H23" s="323"/>
      <c r="I23" s="258"/>
      <c r="J23" s="335">
        <f>ROUND(J22/14,2)</f>
        <v>-310.79000000000002</v>
      </c>
      <c r="S23" s="258"/>
      <c r="T23" s="4"/>
      <c r="U23" s="53"/>
      <c r="W23" s="53"/>
    </row>
    <row r="24" spans="1:25">
      <c r="A24" s="51"/>
      <c r="B24" s="51"/>
      <c r="C24" s="323"/>
      <c r="D24" s="258"/>
      <c r="E24" s="332"/>
      <c r="S24" s="258"/>
      <c r="T24" s="4"/>
      <c r="U24" s="53"/>
      <c r="W24" s="53"/>
    </row>
    <row r="25" spans="1:25">
      <c r="A25" s="51"/>
      <c r="B25" s="51"/>
      <c r="C25" s="323"/>
      <c r="D25" s="258"/>
      <c r="E25" s="332"/>
      <c r="S25" s="258"/>
      <c r="T25" s="4"/>
      <c r="U25" s="53"/>
      <c r="W25" s="53"/>
    </row>
    <row r="26" spans="1:25">
      <c r="C26" s="310">
        <f>SUM(C6:C21)</f>
        <v>52713773.350000009</v>
      </c>
      <c r="D26" s="324">
        <f>SUM(D6:D21)</f>
        <v>23831209.789999995</v>
      </c>
      <c r="E26" s="138"/>
      <c r="S26" s="4"/>
    </row>
    <row r="27" spans="1:25">
      <c r="C27" s="310">
        <v>2403.4499999999998</v>
      </c>
      <c r="D27" s="324">
        <v>7.77</v>
      </c>
      <c r="E27" s="138"/>
      <c r="S27" s="325"/>
    </row>
    <row r="28" spans="1:25">
      <c r="C28" s="310">
        <v>0</v>
      </c>
      <c r="D28" s="324"/>
      <c r="E28" s="138"/>
      <c r="S28" s="4"/>
    </row>
    <row r="29" spans="1:25">
      <c r="C29" s="336">
        <f>SUM(C26:C28)</f>
        <v>52716176.800000012</v>
      </c>
      <c r="D29" s="336">
        <f>SUM(D26:D28)</f>
        <v>23831217.559999995</v>
      </c>
      <c r="E29" s="138"/>
    </row>
  </sheetData>
  <sheetProtection formatCells="0" formatColumns="0" formatRows="0" insertColumns="0" insertRows="0" insertHyperlinks="0" deleteColumns="0" deleteRows="0" sort="0" autoFilter="0" pivotTables="0"/>
  <mergeCells count="2">
    <mergeCell ref="A1:F1"/>
    <mergeCell ref="A2:F2"/>
  </mergeCells>
  <pageMargins left="0.35433070866141736" right="0.19685039370078738" top="0.74803149606299213" bottom="0.74803149606299213" header="0.31496062992125984" footer="0.31496062992125984"/>
  <pageSetup paperSize="9" scale="77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20">
    <tabColor rgb="FF00B050"/>
  </sheetPr>
  <dimension ref="A1:L25"/>
  <sheetViews>
    <sheetView topLeftCell="A6" workbookViewId="0">
      <selection activeCell="E11" sqref="E11"/>
    </sheetView>
  </sheetViews>
  <sheetFormatPr defaultColWidth="9.140625" defaultRowHeight="15"/>
  <cols>
    <col min="1" max="1" width="8.42578125" style="46" customWidth="1"/>
    <col min="2" max="2" width="41.140625" style="3" customWidth="1"/>
    <col min="3" max="3" width="24.85546875" style="3" customWidth="1"/>
    <col min="4" max="4" width="22.85546875" style="3" customWidth="1"/>
    <col min="5" max="5" width="22" style="3" customWidth="1"/>
    <col min="6" max="6" width="13.140625" style="3" customWidth="1"/>
    <col min="7" max="8" width="9.140625" style="3"/>
    <col min="9" max="9" width="13.42578125" style="3" customWidth="1"/>
    <col min="10" max="10" width="17.85546875" style="3" customWidth="1"/>
    <col min="11" max="16384" width="9.140625" style="3"/>
  </cols>
  <sheetData>
    <row r="1" spans="1:12" s="178" customFormat="1" ht="20.45" customHeight="1">
      <c r="A1" s="447" t="s">
        <v>107</v>
      </c>
      <c r="B1" s="447"/>
      <c r="C1" s="447"/>
      <c r="D1" s="447"/>
      <c r="E1" s="447"/>
      <c r="F1" s="447"/>
    </row>
    <row r="2" spans="1:12" ht="25.5" customHeight="1">
      <c r="A2" s="448" t="s">
        <v>196</v>
      </c>
      <c r="B2" s="448"/>
      <c r="C2" s="448"/>
      <c r="D2" s="448"/>
      <c r="E2" s="448"/>
      <c r="F2" s="448"/>
    </row>
    <row r="3" spans="1:12" ht="30">
      <c r="C3" s="46"/>
      <c r="D3" s="46" t="s">
        <v>197</v>
      </c>
    </row>
    <row r="5" spans="1:12" ht="135">
      <c r="A5" s="47" t="s">
        <v>35</v>
      </c>
      <c r="B5" s="47" t="s">
        <v>2</v>
      </c>
      <c r="C5" s="232" t="s">
        <v>198</v>
      </c>
      <c r="D5" s="232" t="s">
        <v>199</v>
      </c>
      <c r="E5" s="47" t="s">
        <v>200</v>
      </c>
      <c r="F5" s="47" t="s">
        <v>139</v>
      </c>
      <c r="G5" s="49"/>
    </row>
    <row r="6" spans="1:12">
      <c r="A6" s="312">
        <v>601</v>
      </c>
      <c r="B6" s="239" t="s">
        <v>13</v>
      </c>
      <c r="C6" s="337">
        <v>30534397.18</v>
      </c>
      <c r="D6" s="337">
        <v>14275346.949999999</v>
      </c>
      <c r="E6" s="338">
        <f t="shared" ref="E6:E21" si="0">ROUND(C6/D6*100,2)</f>
        <v>213.9</v>
      </c>
      <c r="F6" s="339">
        <v>0</v>
      </c>
      <c r="H6" s="53"/>
      <c r="I6" s="340">
        <v>4092794.7</v>
      </c>
      <c r="J6" s="341">
        <v>9375613.5</v>
      </c>
      <c r="K6" s="342">
        <f t="shared" ref="K6:K19" si="1">ROUND(I6/J6*100,2)</f>
        <v>43.65</v>
      </c>
      <c r="L6" s="343">
        <v>0</v>
      </c>
    </row>
    <row r="7" spans="1:12" ht="30">
      <c r="A7" s="84">
        <v>602</v>
      </c>
      <c r="B7" s="242" t="s">
        <v>53</v>
      </c>
      <c r="C7" s="337">
        <v>564101613.61000001</v>
      </c>
      <c r="D7" s="337">
        <v>738496765.08000004</v>
      </c>
      <c r="E7" s="338">
        <f t="shared" si="0"/>
        <v>76.39</v>
      </c>
      <c r="F7" s="339">
        <v>0</v>
      </c>
      <c r="G7" s="49"/>
      <c r="H7" s="53"/>
      <c r="I7" s="340">
        <v>272129200.61000001</v>
      </c>
      <c r="J7" s="341">
        <v>628389533.26999998</v>
      </c>
      <c r="K7" s="342">
        <f t="shared" si="1"/>
        <v>43.31</v>
      </c>
      <c r="L7" s="343">
        <v>0</v>
      </c>
    </row>
    <row r="8" spans="1:12" ht="30">
      <c r="A8" s="84">
        <v>604</v>
      </c>
      <c r="B8" s="242" t="s">
        <v>49</v>
      </c>
      <c r="C8" s="337">
        <v>88071950</v>
      </c>
      <c r="D8" s="337">
        <v>497875027.79000002</v>
      </c>
      <c r="E8" s="338">
        <f t="shared" si="0"/>
        <v>17.690000000000001</v>
      </c>
      <c r="F8" s="339">
        <v>0</v>
      </c>
      <c r="G8" s="49"/>
      <c r="H8" s="53"/>
      <c r="I8" s="340">
        <v>0</v>
      </c>
      <c r="J8" s="341">
        <v>657326834.84000003</v>
      </c>
      <c r="K8" s="344">
        <f t="shared" si="1"/>
        <v>0</v>
      </c>
      <c r="L8" s="343">
        <v>5</v>
      </c>
    </row>
    <row r="9" spans="1:12" ht="45">
      <c r="A9" s="84">
        <v>605</v>
      </c>
      <c r="B9" s="242" t="s">
        <v>45</v>
      </c>
      <c r="C9" s="337">
        <v>562813.06000000006</v>
      </c>
      <c r="D9" s="337">
        <v>6755900.54</v>
      </c>
      <c r="E9" s="338">
        <f t="shared" si="0"/>
        <v>8.33</v>
      </c>
      <c r="F9" s="339">
        <v>0</v>
      </c>
      <c r="G9" s="49"/>
      <c r="H9" s="53"/>
      <c r="I9" s="340">
        <v>156845</v>
      </c>
      <c r="J9" s="341">
        <v>5877791.1200000001</v>
      </c>
      <c r="K9" s="345">
        <f t="shared" si="1"/>
        <v>2.67</v>
      </c>
      <c r="L9" s="343">
        <v>2</v>
      </c>
    </row>
    <row r="10" spans="1:12" ht="30">
      <c r="A10" s="84">
        <v>606</v>
      </c>
      <c r="B10" s="242" t="s">
        <v>46</v>
      </c>
      <c r="C10" s="337">
        <v>2945893123.7800002</v>
      </c>
      <c r="D10" s="337">
        <v>2537814915.7199998</v>
      </c>
      <c r="E10" s="338">
        <f t="shared" si="0"/>
        <v>116.08</v>
      </c>
      <c r="F10" s="339">
        <v>0</v>
      </c>
      <c r="G10" s="49"/>
      <c r="H10" s="53"/>
      <c r="I10" s="340">
        <v>250362.68</v>
      </c>
      <c r="J10" s="341">
        <v>2027355948.54</v>
      </c>
      <c r="K10" s="344">
        <f t="shared" si="1"/>
        <v>0.01</v>
      </c>
      <c r="L10" s="343">
        <v>5</v>
      </c>
    </row>
    <row r="11" spans="1:12" ht="30">
      <c r="A11" s="84">
        <v>607</v>
      </c>
      <c r="B11" s="242" t="s">
        <v>50</v>
      </c>
      <c r="C11" s="337">
        <v>697350</v>
      </c>
      <c r="D11" s="337">
        <v>213702575.22</v>
      </c>
      <c r="E11" s="338">
        <f t="shared" si="0"/>
        <v>0.33</v>
      </c>
      <c r="F11" s="339">
        <v>0</v>
      </c>
      <c r="G11" s="49"/>
      <c r="H11" s="53"/>
      <c r="I11" s="340">
        <v>0</v>
      </c>
      <c r="J11" s="341">
        <v>35784679.890000001</v>
      </c>
      <c r="K11" s="344">
        <f t="shared" si="1"/>
        <v>0</v>
      </c>
      <c r="L11" s="343">
        <v>5</v>
      </c>
    </row>
    <row r="12" spans="1:12" ht="45">
      <c r="A12" s="84">
        <v>609</v>
      </c>
      <c r="B12" s="242" t="s">
        <v>37</v>
      </c>
      <c r="C12" s="337">
        <v>3718992049.3499999</v>
      </c>
      <c r="D12" s="337">
        <v>3619205947.4899998</v>
      </c>
      <c r="E12" s="338">
        <f t="shared" si="0"/>
        <v>102.76</v>
      </c>
      <c r="F12" s="339">
        <v>0</v>
      </c>
      <c r="G12" s="49"/>
      <c r="H12" s="53"/>
      <c r="I12" s="340">
        <v>0</v>
      </c>
      <c r="J12" s="341">
        <v>1855384393.5999999</v>
      </c>
      <c r="K12" s="344">
        <f t="shared" si="1"/>
        <v>0</v>
      </c>
      <c r="L12" s="343">
        <v>5</v>
      </c>
    </row>
    <row r="13" spans="1:12" ht="30">
      <c r="A13" s="84">
        <v>611</v>
      </c>
      <c r="B13" s="242" t="s">
        <v>47</v>
      </c>
      <c r="C13" s="339">
        <v>0</v>
      </c>
      <c r="D13" s="337">
        <v>51503.44</v>
      </c>
      <c r="E13" s="338">
        <f t="shared" si="0"/>
        <v>0</v>
      </c>
      <c r="F13" s="339">
        <v>5</v>
      </c>
      <c r="G13" s="49"/>
      <c r="H13" s="53"/>
      <c r="I13" s="340">
        <v>0</v>
      </c>
      <c r="J13" s="341">
        <v>6681197.1699999999</v>
      </c>
      <c r="K13" s="344">
        <f t="shared" si="1"/>
        <v>0</v>
      </c>
      <c r="L13" s="343">
        <v>5</v>
      </c>
    </row>
    <row r="14" spans="1:12" ht="30">
      <c r="A14" s="84">
        <v>617</v>
      </c>
      <c r="B14" s="242" t="s">
        <v>42</v>
      </c>
      <c r="C14" s="337">
        <v>8967392.6400000006</v>
      </c>
      <c r="D14" s="337">
        <v>19110497.239999998</v>
      </c>
      <c r="E14" s="338">
        <f t="shared" si="0"/>
        <v>46.92</v>
      </c>
      <c r="F14" s="339">
        <v>0</v>
      </c>
      <c r="G14" s="49"/>
      <c r="H14" s="53"/>
      <c r="I14" s="340">
        <v>972321.04</v>
      </c>
      <c r="J14" s="341">
        <v>2713646.12</v>
      </c>
      <c r="K14" s="342">
        <f t="shared" si="1"/>
        <v>35.83</v>
      </c>
      <c r="L14" s="343">
        <v>0</v>
      </c>
    </row>
    <row r="15" spans="1:12" ht="30">
      <c r="A15" s="84">
        <v>618</v>
      </c>
      <c r="B15" s="242" t="s">
        <v>38</v>
      </c>
      <c r="C15" s="337">
        <v>17290720.57</v>
      </c>
      <c r="D15" s="337">
        <v>9182827.1400000006</v>
      </c>
      <c r="E15" s="338">
        <f t="shared" si="0"/>
        <v>188.29</v>
      </c>
      <c r="F15" s="339">
        <v>0</v>
      </c>
      <c r="G15" s="49"/>
      <c r="H15" s="53"/>
      <c r="I15" s="340">
        <v>3281621.85</v>
      </c>
      <c r="J15" s="341">
        <v>2419917.33</v>
      </c>
      <c r="K15" s="342">
        <f t="shared" si="1"/>
        <v>135.61000000000001</v>
      </c>
      <c r="L15" s="343">
        <v>0</v>
      </c>
    </row>
    <row r="16" spans="1:12" ht="30">
      <c r="A16" s="84">
        <v>619</v>
      </c>
      <c r="B16" s="242" t="s">
        <v>44</v>
      </c>
      <c r="C16" s="337">
        <v>33562594.659999996</v>
      </c>
      <c r="D16" s="337">
        <v>29127574.34</v>
      </c>
      <c r="E16" s="338">
        <f t="shared" si="0"/>
        <v>115.23</v>
      </c>
      <c r="F16" s="339">
        <v>0</v>
      </c>
      <c r="G16" s="49"/>
      <c r="H16" s="53"/>
      <c r="I16" s="340">
        <v>11158644.029999999</v>
      </c>
      <c r="J16" s="341">
        <v>5890619.9299999997</v>
      </c>
      <c r="K16" s="342">
        <f t="shared" si="1"/>
        <v>189.43</v>
      </c>
      <c r="L16" s="343">
        <v>0</v>
      </c>
    </row>
    <row r="17" spans="1:12" ht="30">
      <c r="A17" s="84">
        <v>620</v>
      </c>
      <c r="B17" s="242" t="s">
        <v>48</v>
      </c>
      <c r="C17" s="337">
        <v>486131535.19999999</v>
      </c>
      <c r="D17" s="337">
        <v>1407365139.21</v>
      </c>
      <c r="E17" s="338">
        <f t="shared" si="0"/>
        <v>34.54</v>
      </c>
      <c r="F17" s="339">
        <v>0</v>
      </c>
      <c r="G17" s="49"/>
      <c r="H17" s="53"/>
      <c r="I17" s="340">
        <v>848676.54</v>
      </c>
      <c r="J17" s="341">
        <v>415932811.35000002</v>
      </c>
      <c r="K17" s="344">
        <f t="shared" si="1"/>
        <v>0.2</v>
      </c>
      <c r="L17" s="343">
        <v>5</v>
      </c>
    </row>
    <row r="18" spans="1:12" ht="30">
      <c r="A18" s="84">
        <v>621</v>
      </c>
      <c r="B18" s="242" t="s">
        <v>54</v>
      </c>
      <c r="C18" s="337">
        <v>317337874.25999999</v>
      </c>
      <c r="D18" s="337">
        <v>1011006218.75</v>
      </c>
      <c r="E18" s="338">
        <f t="shared" si="0"/>
        <v>31.39</v>
      </c>
      <c r="F18" s="339">
        <v>0</v>
      </c>
      <c r="G18" s="49"/>
      <c r="H18" s="53"/>
      <c r="I18" s="340">
        <v>20140776.530000001</v>
      </c>
      <c r="J18" s="341">
        <v>753503950.99000001</v>
      </c>
      <c r="K18" s="345">
        <f t="shared" si="1"/>
        <v>2.67</v>
      </c>
      <c r="L18" s="343">
        <v>2</v>
      </c>
    </row>
    <row r="19" spans="1:12" ht="45">
      <c r="A19" s="84">
        <v>624</v>
      </c>
      <c r="B19" s="242" t="s">
        <v>40</v>
      </c>
      <c r="C19" s="339">
        <v>0</v>
      </c>
      <c r="D19" s="337">
        <v>1619327.29</v>
      </c>
      <c r="E19" s="338">
        <f t="shared" si="0"/>
        <v>0</v>
      </c>
      <c r="F19" s="339">
        <v>2</v>
      </c>
      <c r="G19" s="49"/>
      <c r="H19" s="53"/>
      <c r="I19" s="340">
        <v>7766</v>
      </c>
      <c r="J19" s="341">
        <v>1601702.61</v>
      </c>
      <c r="K19" s="344">
        <f t="shared" si="1"/>
        <v>0.48</v>
      </c>
      <c r="L19" s="343">
        <v>5</v>
      </c>
    </row>
    <row r="20" spans="1:12">
      <c r="A20" s="84">
        <v>600</v>
      </c>
      <c r="B20" s="242" t="s">
        <v>51</v>
      </c>
      <c r="C20" s="339">
        <v>0</v>
      </c>
      <c r="D20" s="337">
        <v>4733.91</v>
      </c>
      <c r="E20" s="338">
        <f t="shared" si="0"/>
        <v>0</v>
      </c>
      <c r="F20" s="339">
        <v>5</v>
      </c>
      <c r="H20" s="53"/>
      <c r="I20" s="303"/>
      <c r="J20" s="346"/>
      <c r="K20" s="347"/>
      <c r="L20" s="348"/>
    </row>
    <row r="21" spans="1:12" ht="30">
      <c r="A21" s="84">
        <v>643</v>
      </c>
      <c r="B21" s="242" t="s">
        <v>52</v>
      </c>
      <c r="C21" s="339">
        <v>0</v>
      </c>
      <c r="D21" s="337">
        <v>217928.51</v>
      </c>
      <c r="E21" s="338">
        <f t="shared" si="0"/>
        <v>0</v>
      </c>
      <c r="F21" s="339">
        <v>5</v>
      </c>
      <c r="H21" s="53"/>
      <c r="I21" s="303"/>
      <c r="J21" s="346"/>
      <c r="K21" s="347"/>
      <c r="L21" s="348"/>
    </row>
    <row r="22" spans="1:12">
      <c r="A22" s="221"/>
      <c r="B22" s="263"/>
      <c r="C22" s="349"/>
      <c r="D22" s="350"/>
      <c r="E22" s="351"/>
      <c r="F22" s="352"/>
      <c r="H22" s="53"/>
    </row>
    <row r="23" spans="1:12">
      <c r="A23" s="221"/>
      <c r="B23" s="263" t="s">
        <v>23</v>
      </c>
      <c r="C23" s="349"/>
      <c r="D23" s="353"/>
      <c r="E23" s="265">
        <f>SUBTOTAL(9,E6:E21)</f>
        <v>951.84999999999991</v>
      </c>
      <c r="F23" s="352"/>
      <c r="H23" s="53"/>
    </row>
    <row r="24" spans="1:12">
      <c r="A24" s="221"/>
      <c r="B24" s="266" t="s">
        <v>24</v>
      </c>
      <c r="C24" s="349"/>
      <c r="D24" s="353"/>
      <c r="E24" s="267">
        <f>ROUND(E23/16,2)</f>
        <v>59.49</v>
      </c>
      <c r="F24" s="352"/>
      <c r="H24" s="53"/>
    </row>
    <row r="25" spans="1:12">
      <c r="C25" s="354">
        <f>SUM(C6:C21)</f>
        <v>8212143414.3099995</v>
      </c>
      <c r="D25" s="354">
        <f>SUM(D6:D21)</f>
        <v>10105812228.620001</v>
      </c>
      <c r="E25" s="137"/>
      <c r="F25" s="137"/>
    </row>
  </sheetData>
  <sheetProtection formatCells="0" formatColumns="0" formatRows="0" insertColumns="0" insertRows="0" insertHyperlinks="0" deleteColumns="0" deleteRows="0" sort="0" autoFilter="0" pivotTables="0"/>
  <mergeCells count="2">
    <mergeCell ref="A1:F1"/>
    <mergeCell ref="A2:F2"/>
  </mergeCells>
  <pageMargins left="0.35433070866141736" right="0.19685039370078738" top="0.74803149606299213" bottom="0.74803149606299213" header="0.31496062992125984" footer="0.31496062992125984"/>
  <pageSetup paperSize="9" scale="73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00B050"/>
  </sheetPr>
  <dimension ref="A1:I33"/>
  <sheetViews>
    <sheetView workbookViewId="0">
      <selection activeCell="B22" sqref="B22"/>
    </sheetView>
  </sheetViews>
  <sheetFormatPr defaultColWidth="9.140625" defaultRowHeight="15"/>
  <cols>
    <col min="1" max="1" width="9.140625" style="1"/>
    <col min="2" max="2" width="7.140625" style="3" customWidth="1"/>
    <col min="3" max="3" width="8.42578125" style="46" customWidth="1"/>
    <col min="4" max="4" width="50.85546875" style="3" customWidth="1"/>
    <col min="5" max="5" width="15" style="4" customWidth="1"/>
    <col min="6" max="8" width="0" style="1" hidden="1" customWidth="1"/>
    <col min="9" max="16384" width="9.140625" style="1"/>
  </cols>
  <sheetData>
    <row r="1" spans="1:8" ht="18.75">
      <c r="B1" s="422" t="s">
        <v>29</v>
      </c>
      <c r="C1" s="422"/>
      <c r="D1" s="422"/>
      <c r="E1" s="422"/>
    </row>
    <row r="2" spans="1:8" ht="18.75">
      <c r="B2" s="422" t="s">
        <v>30</v>
      </c>
      <c r="C2" s="422"/>
      <c r="D2" s="422"/>
      <c r="E2" s="422"/>
    </row>
    <row r="3" spans="1:8" ht="18.75">
      <c r="B3" s="422" t="s">
        <v>31</v>
      </c>
      <c r="C3" s="422"/>
      <c r="D3" s="422"/>
      <c r="E3" s="422"/>
    </row>
    <row r="4" spans="1:8" ht="18.75">
      <c r="B4" s="422" t="s">
        <v>32</v>
      </c>
      <c r="C4" s="422"/>
      <c r="D4" s="422"/>
      <c r="E4" s="422"/>
    </row>
    <row r="5" spans="1:8" ht="18.75">
      <c r="B5" s="422" t="s">
        <v>33</v>
      </c>
      <c r="C5" s="422"/>
      <c r="D5" s="422"/>
      <c r="E5" s="422"/>
    </row>
    <row r="7" spans="1:8" ht="52.5" customHeight="1">
      <c r="B7" s="47" t="s">
        <v>34</v>
      </c>
      <c r="C7" s="47" t="s">
        <v>35</v>
      </c>
      <c r="D7" s="47" t="s">
        <v>2</v>
      </c>
      <c r="E7" s="48" t="s">
        <v>36</v>
      </c>
    </row>
    <row r="8" spans="1:8" s="8" customFormat="1" ht="30">
      <c r="A8" s="15">
        <v>609</v>
      </c>
      <c r="B8" s="49">
        <v>1</v>
      </c>
      <c r="C8" s="15">
        <v>609</v>
      </c>
      <c r="D8" s="15" t="s">
        <v>37</v>
      </c>
      <c r="E8" s="50">
        <f>VLOOKUP($F8,'Итоги по ГРБС 2022'!$B:$E,3,0)</f>
        <v>4.42</v>
      </c>
      <c r="F8" s="15">
        <v>609</v>
      </c>
      <c r="G8" s="49">
        <v>1</v>
      </c>
      <c r="H8" s="8">
        <v>0</v>
      </c>
    </row>
    <row r="9" spans="1:8" ht="30">
      <c r="A9" s="15">
        <v>618</v>
      </c>
      <c r="B9" s="49">
        <v>2</v>
      </c>
      <c r="C9" s="15">
        <v>618</v>
      </c>
      <c r="D9" s="15" t="s">
        <v>38</v>
      </c>
      <c r="E9" s="50">
        <f>VLOOKUP($F9,'Итоги по ГРБС 2022'!$B:$E,3,0)</f>
        <v>4.08</v>
      </c>
      <c r="F9" s="15">
        <v>618</v>
      </c>
      <c r="G9" s="49">
        <v>11</v>
      </c>
      <c r="H9" s="1" t="s">
        <v>39</v>
      </c>
    </row>
    <row r="10" spans="1:8" ht="45">
      <c r="A10" s="15">
        <v>624</v>
      </c>
      <c r="B10" s="49">
        <v>3</v>
      </c>
      <c r="C10" s="15">
        <v>624</v>
      </c>
      <c r="D10" s="15" t="s">
        <v>40</v>
      </c>
      <c r="E10" s="50">
        <f>VLOOKUP($F10,'Итоги по ГРБС 2022'!$B:$E,3,0)</f>
        <v>3.79</v>
      </c>
      <c r="F10" s="51">
        <v>624</v>
      </c>
      <c r="G10" s="49">
        <v>9</v>
      </c>
      <c r="H10" s="1" t="s">
        <v>41</v>
      </c>
    </row>
    <row r="11" spans="1:8" ht="30">
      <c r="A11" s="15">
        <v>617</v>
      </c>
      <c r="B11" s="49">
        <v>4</v>
      </c>
      <c r="C11" s="15">
        <v>617</v>
      </c>
      <c r="D11" s="15" t="s">
        <v>42</v>
      </c>
      <c r="E11" s="50">
        <f>VLOOKUP($F11,'Итоги по ГРБС 2022'!$B:$E,3,0)</f>
        <v>3.7600000000000002</v>
      </c>
      <c r="F11" s="15">
        <v>617</v>
      </c>
      <c r="G11" s="49">
        <v>14</v>
      </c>
      <c r="H11" s="1" t="s">
        <v>43</v>
      </c>
    </row>
    <row r="12" spans="1:8">
      <c r="A12" s="15">
        <v>601</v>
      </c>
      <c r="B12" s="49">
        <v>5</v>
      </c>
      <c r="C12" s="15">
        <v>601</v>
      </c>
      <c r="D12" s="15" t="s">
        <v>13</v>
      </c>
      <c r="E12" s="50">
        <f>VLOOKUP($F12,'Итоги по ГРБС 2022'!$B:$E,3,0)</f>
        <v>3.7600000000000002</v>
      </c>
      <c r="F12" s="15">
        <v>601</v>
      </c>
      <c r="G12" s="49">
        <v>5</v>
      </c>
      <c r="H12" s="1">
        <v>0</v>
      </c>
    </row>
    <row r="13" spans="1:8" ht="30">
      <c r="A13" s="15">
        <v>619</v>
      </c>
      <c r="B13" s="49">
        <v>6</v>
      </c>
      <c r="C13" s="15">
        <v>619</v>
      </c>
      <c r="D13" s="15" t="s">
        <v>44</v>
      </c>
      <c r="E13" s="50">
        <f>VLOOKUP($F13,'Итоги по ГРБС 2022'!$B:$E,3,0)</f>
        <v>3.7199999999999998</v>
      </c>
      <c r="F13" s="51">
        <v>619</v>
      </c>
      <c r="G13" s="49">
        <v>12</v>
      </c>
      <c r="H13" s="1" t="s">
        <v>41</v>
      </c>
    </row>
    <row r="14" spans="1:8" ht="30">
      <c r="A14" s="15">
        <v>605</v>
      </c>
      <c r="B14" s="49">
        <v>7</v>
      </c>
      <c r="C14" s="15">
        <v>605</v>
      </c>
      <c r="D14" s="15" t="s">
        <v>45</v>
      </c>
      <c r="E14" s="50">
        <f>VLOOKUP($F14,'Итоги по ГРБС 2022'!$B:$E,3,0)</f>
        <v>3.6799999999999997</v>
      </c>
      <c r="F14" s="15">
        <v>605</v>
      </c>
      <c r="G14" s="49">
        <v>13</v>
      </c>
      <c r="H14" s="1" t="s">
        <v>39</v>
      </c>
    </row>
    <row r="15" spans="1:8" ht="30">
      <c r="A15" s="15">
        <v>606</v>
      </c>
      <c r="B15" s="49">
        <v>8</v>
      </c>
      <c r="C15" s="15">
        <v>606</v>
      </c>
      <c r="D15" s="15" t="s">
        <v>46</v>
      </c>
      <c r="E15" s="50">
        <f>VLOOKUP($F15,'Итоги по ГРБС 2022'!$B:$E,3,0)</f>
        <v>3.6399999999999997</v>
      </c>
      <c r="F15" s="15">
        <v>606</v>
      </c>
      <c r="G15" s="49">
        <v>2</v>
      </c>
      <c r="H15" s="1" t="s">
        <v>41</v>
      </c>
    </row>
    <row r="16" spans="1:8" ht="30">
      <c r="A16" s="15">
        <v>611</v>
      </c>
      <c r="B16" s="49">
        <v>9</v>
      </c>
      <c r="C16" s="15">
        <v>611</v>
      </c>
      <c r="D16" s="15" t="s">
        <v>47</v>
      </c>
      <c r="E16" s="50">
        <f>VLOOKUP($F16,'Итоги по ГРБС 2022'!$B:$E,3,0)</f>
        <v>3.59</v>
      </c>
      <c r="F16" s="15">
        <v>611</v>
      </c>
      <c r="G16" s="49">
        <v>3</v>
      </c>
      <c r="H16" s="1" t="s">
        <v>41</v>
      </c>
    </row>
    <row r="17" spans="1:8" ht="30">
      <c r="A17" s="15">
        <v>620</v>
      </c>
      <c r="B17" s="49">
        <v>10</v>
      </c>
      <c r="C17" s="15">
        <v>620</v>
      </c>
      <c r="D17" s="15" t="s">
        <v>48</v>
      </c>
      <c r="E17" s="50">
        <f>VLOOKUP($F17,'Итоги по ГРБС 2022'!$B:$E,3,0)</f>
        <v>3.5799999999999996</v>
      </c>
      <c r="F17" s="15">
        <v>620</v>
      </c>
      <c r="G17" s="49">
        <v>7</v>
      </c>
      <c r="H17" s="1">
        <v>0</v>
      </c>
    </row>
    <row r="18" spans="1:8" ht="30">
      <c r="A18" s="15">
        <v>604</v>
      </c>
      <c r="B18" s="49">
        <v>11</v>
      </c>
      <c r="C18" s="15">
        <v>604</v>
      </c>
      <c r="D18" s="15" t="s">
        <v>49</v>
      </c>
      <c r="E18" s="50">
        <f>VLOOKUP($F18,'Итоги по ГРБС 2022'!$B:$E,3,0)</f>
        <v>3.55</v>
      </c>
      <c r="F18" s="15">
        <v>604</v>
      </c>
      <c r="G18" s="49">
        <v>6</v>
      </c>
      <c r="H18" s="1" t="s">
        <v>39</v>
      </c>
    </row>
    <row r="19" spans="1:8" ht="30">
      <c r="A19" s="15">
        <v>607</v>
      </c>
      <c r="B19" s="49">
        <v>12</v>
      </c>
      <c r="C19" s="15">
        <v>607</v>
      </c>
      <c r="D19" s="15" t="s">
        <v>50</v>
      </c>
      <c r="E19" s="50">
        <f>VLOOKUP($F19,'Итоги по ГРБС 2022'!$B:$E,3,0)</f>
        <v>3.51</v>
      </c>
      <c r="F19" s="15">
        <v>607</v>
      </c>
      <c r="G19" s="49">
        <v>4</v>
      </c>
      <c r="H19" s="1" t="s">
        <v>41</v>
      </c>
    </row>
    <row r="20" spans="1:8">
      <c r="A20" s="15">
        <v>600</v>
      </c>
      <c r="B20" s="49">
        <v>13</v>
      </c>
      <c r="C20" s="15">
        <v>600</v>
      </c>
      <c r="D20" s="15" t="s">
        <v>51</v>
      </c>
      <c r="E20" s="50">
        <f>VLOOKUP($F20,'Итоги по ГРБС 2022'!$B:$E,3,0)</f>
        <v>3.32</v>
      </c>
      <c r="F20" s="15">
        <v>600</v>
      </c>
      <c r="G20" s="49">
        <v>10</v>
      </c>
      <c r="H20" s="1">
        <v>0</v>
      </c>
    </row>
    <row r="21" spans="1:8">
      <c r="A21" s="15">
        <v>643</v>
      </c>
      <c r="B21" s="49">
        <v>14</v>
      </c>
      <c r="C21" s="15">
        <v>643</v>
      </c>
      <c r="D21" s="15" t="s">
        <v>52</v>
      </c>
      <c r="E21" s="50">
        <f>VLOOKUP($F21,'Итоги по ГРБС 2022'!$B:$E,3,0)</f>
        <v>3.22</v>
      </c>
      <c r="F21" s="15">
        <v>643</v>
      </c>
      <c r="G21" s="49">
        <v>8</v>
      </c>
      <c r="H21" s="1" t="s">
        <v>39</v>
      </c>
    </row>
    <row r="22" spans="1:8" ht="30">
      <c r="A22" s="15">
        <v>602</v>
      </c>
      <c r="B22" s="49">
        <v>15</v>
      </c>
      <c r="C22" s="15">
        <v>602</v>
      </c>
      <c r="D22" s="52" t="s">
        <v>53</v>
      </c>
      <c r="E22" s="50">
        <f>VLOOKUP($F22,'Итоги по ГРБС 2022'!$B:$E,3,0)</f>
        <v>3.0500000000000003</v>
      </c>
      <c r="F22" s="52">
        <v>602</v>
      </c>
      <c r="G22" s="49">
        <v>15</v>
      </c>
      <c r="H22" s="1" t="s">
        <v>39</v>
      </c>
    </row>
    <row r="23" spans="1:8" ht="30">
      <c r="A23" s="15">
        <v>621</v>
      </c>
      <c r="B23" s="49">
        <v>16</v>
      </c>
      <c r="C23" s="15">
        <v>621</v>
      </c>
      <c r="D23" s="15" t="s">
        <v>54</v>
      </c>
      <c r="E23" s="50">
        <f>VLOOKUP($F23,'Итоги по ГРБС 2022'!$B:$E,3,0)</f>
        <v>2.17</v>
      </c>
      <c r="F23" s="15">
        <v>621</v>
      </c>
      <c r="G23" s="49">
        <v>16</v>
      </c>
      <c r="H23" s="1" t="s">
        <v>39</v>
      </c>
    </row>
    <row r="26" spans="1:8">
      <c r="D26" s="51" t="s">
        <v>23</v>
      </c>
      <c r="E26" s="53">
        <f>SUBTOTAL(9,E8:E23)</f>
        <v>56.839999999999989</v>
      </c>
    </row>
    <row r="27" spans="1:8">
      <c r="D27" s="54" t="s">
        <v>24</v>
      </c>
      <c r="E27" s="55">
        <f>ROUND(E26/14,2)</f>
        <v>4.0599999999999996</v>
      </c>
    </row>
    <row r="28" spans="1:8" hidden="1"/>
    <row r="29" spans="1:8" ht="15.75" hidden="1">
      <c r="D29" s="56" t="s">
        <v>25</v>
      </c>
      <c r="E29" s="57"/>
    </row>
    <row r="30" spans="1:8" ht="15.75" hidden="1">
      <c r="D30" s="56" t="s">
        <v>26</v>
      </c>
      <c r="E30" s="58"/>
    </row>
    <row r="31" spans="1:8" ht="15.75" hidden="1">
      <c r="D31" s="56" t="s">
        <v>27</v>
      </c>
      <c r="E31" s="59"/>
    </row>
    <row r="32" spans="1:8" ht="15.75" hidden="1">
      <c r="D32" s="56" t="s">
        <v>28</v>
      </c>
      <c r="E32" s="60"/>
    </row>
    <row r="33" spans="7:9">
      <c r="G33" s="1" t="s">
        <v>43</v>
      </c>
      <c r="H33" s="1">
        <v>7</v>
      </c>
      <c r="I33" s="1">
        <f>H33*100/16</f>
        <v>43.75</v>
      </c>
    </row>
  </sheetData>
  <sheetProtection formatCells="0" formatColumns="0" formatRows="0" insertColumns="0" insertRows="0" insertHyperlinks="0" deleteColumns="0" deleteRows="0" sort="0" autoFilter="0" pivotTables="0"/>
  <sortState ref="A8:F23">
    <sortCondition descending="1" ref="E8"/>
  </sortState>
  <mergeCells count="5">
    <mergeCell ref="B1:E1"/>
    <mergeCell ref="B2:E2"/>
    <mergeCell ref="B3:E3"/>
    <mergeCell ref="B4:E4"/>
    <mergeCell ref="B5:E5"/>
  </mergeCells>
  <pageMargins left="1.0200000000000002" right="0.19685039370078738" top="0.35433070866141736" bottom="0.19685039370078738" header="0.15748031496062992" footer="0.15748031496062992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1">
    <tabColor rgb="FF00B050"/>
  </sheetPr>
  <dimension ref="A1:M30"/>
  <sheetViews>
    <sheetView zoomScale="110" workbookViewId="0">
      <selection activeCell="E11" sqref="E11"/>
    </sheetView>
  </sheetViews>
  <sheetFormatPr defaultColWidth="9.140625" defaultRowHeight="15"/>
  <cols>
    <col min="1" max="1" width="8.42578125" style="46" customWidth="1"/>
    <col min="2" max="2" width="41.140625" style="3" customWidth="1"/>
    <col min="3" max="3" width="20.28515625" style="3" customWidth="1"/>
    <col min="4" max="4" width="23.5703125" style="3" customWidth="1"/>
    <col min="5" max="5" width="19.5703125" style="3" customWidth="1"/>
    <col min="6" max="6" width="13.140625" style="3" customWidth="1"/>
    <col min="7" max="7" width="9.140625" style="3"/>
    <col min="8" max="8" width="15.7109375" style="3" bestFit="1" customWidth="1"/>
    <col min="9" max="9" width="11.85546875" style="3" bestFit="1" customWidth="1"/>
    <col min="10" max="12" width="9.140625" style="3"/>
    <col min="13" max="13" width="11.85546875" style="3" bestFit="1" customWidth="1"/>
    <col min="14" max="16384" width="9.140625" style="3"/>
  </cols>
  <sheetData>
    <row r="1" spans="1:13" s="178" customFormat="1" ht="20.25">
      <c r="A1" s="447" t="s">
        <v>107</v>
      </c>
      <c r="B1" s="447"/>
      <c r="C1" s="447"/>
      <c r="D1" s="447"/>
      <c r="E1" s="447"/>
      <c r="F1" s="447"/>
    </row>
    <row r="2" spans="1:13" ht="19.5">
      <c r="A2" s="448" t="s">
        <v>201</v>
      </c>
      <c r="B2" s="448"/>
      <c r="C2" s="448"/>
      <c r="D2" s="448"/>
      <c r="E2" s="448"/>
      <c r="F2" s="448"/>
    </row>
    <row r="5" spans="1:13" ht="120">
      <c r="A5" s="47" t="s">
        <v>35</v>
      </c>
      <c r="B5" s="47" t="s">
        <v>2</v>
      </c>
      <c r="C5" s="232" t="s">
        <v>202</v>
      </c>
      <c r="D5" s="232" t="s">
        <v>203</v>
      </c>
      <c r="E5" s="47" t="s">
        <v>204</v>
      </c>
      <c r="F5" s="47" t="s">
        <v>139</v>
      </c>
    </row>
    <row r="6" spans="1:13">
      <c r="A6" s="219">
        <v>601</v>
      </c>
      <c r="B6" s="239" t="s">
        <v>13</v>
      </c>
      <c r="C6" s="269">
        <v>950556.51</v>
      </c>
      <c r="D6" s="269">
        <v>234033.4</v>
      </c>
      <c r="E6" s="355">
        <f t="shared" ref="E6:E20" si="0">ROUND((C6-D6)/C6*100,2)</f>
        <v>75.38</v>
      </c>
      <c r="F6" s="201">
        <v>5</v>
      </c>
      <c r="H6" s="270">
        <v>102897.4</v>
      </c>
      <c r="I6" s="4">
        <v>510781.72</v>
      </c>
      <c r="J6" s="133">
        <v>0</v>
      </c>
      <c r="K6" s="49">
        <v>0</v>
      </c>
      <c r="L6" s="53">
        <f t="shared" ref="L6:L19" si="1">F6-K6</f>
        <v>5</v>
      </c>
    </row>
    <row r="7" spans="1:13" ht="30">
      <c r="A7" s="193">
        <v>602</v>
      </c>
      <c r="B7" s="242" t="s">
        <v>53</v>
      </c>
      <c r="C7" s="269">
        <v>63167.88</v>
      </c>
      <c r="D7" s="269">
        <v>39142.44</v>
      </c>
      <c r="E7" s="355">
        <f t="shared" si="0"/>
        <v>38.03</v>
      </c>
      <c r="F7" s="201">
        <v>5</v>
      </c>
      <c r="H7" s="270">
        <v>134549.01</v>
      </c>
      <c r="I7" s="4">
        <v>165511.87</v>
      </c>
      <c r="J7" s="133">
        <v>0</v>
      </c>
      <c r="K7" s="49">
        <v>0</v>
      </c>
      <c r="L7" s="53">
        <f t="shared" si="1"/>
        <v>5</v>
      </c>
      <c r="M7" s="4"/>
    </row>
    <row r="8" spans="1:13" ht="30">
      <c r="A8" s="193">
        <v>604</v>
      </c>
      <c r="B8" s="242" t="s">
        <v>49</v>
      </c>
      <c r="C8" s="269">
        <v>76580.75</v>
      </c>
      <c r="D8" s="269">
        <v>30945.07</v>
      </c>
      <c r="E8" s="355">
        <f t="shared" si="0"/>
        <v>59.59</v>
      </c>
      <c r="F8" s="201">
        <v>1</v>
      </c>
      <c r="H8" s="270">
        <v>138785.45000000001</v>
      </c>
      <c r="I8" s="4">
        <v>85013.55</v>
      </c>
      <c r="J8" s="133">
        <v>38.74</v>
      </c>
      <c r="K8" s="49">
        <v>3</v>
      </c>
      <c r="L8" s="53">
        <f t="shared" si="1"/>
        <v>-2</v>
      </c>
    </row>
    <row r="9" spans="1:13" ht="45">
      <c r="A9" s="193">
        <v>605</v>
      </c>
      <c r="B9" s="242" t="s">
        <v>45</v>
      </c>
      <c r="C9" s="269">
        <v>14464</v>
      </c>
      <c r="D9" s="269">
        <v>30976</v>
      </c>
      <c r="E9" s="355">
        <f t="shared" si="0"/>
        <v>-114.16</v>
      </c>
      <c r="F9" s="201">
        <v>1</v>
      </c>
      <c r="H9" s="270">
        <v>11790.56</v>
      </c>
      <c r="I9" s="4">
        <v>5040</v>
      </c>
      <c r="J9" s="133">
        <v>57.25</v>
      </c>
      <c r="K9" s="49">
        <v>5</v>
      </c>
      <c r="L9" s="53">
        <f t="shared" si="1"/>
        <v>-4</v>
      </c>
    </row>
    <row r="10" spans="1:13" ht="30">
      <c r="A10" s="193">
        <v>606</v>
      </c>
      <c r="B10" s="242" t="s">
        <v>46</v>
      </c>
      <c r="C10" s="269">
        <v>140752.9</v>
      </c>
      <c r="D10" s="269">
        <v>109527.56</v>
      </c>
      <c r="E10" s="355">
        <f t="shared" si="0"/>
        <v>22.18</v>
      </c>
      <c r="F10" s="201">
        <v>2</v>
      </c>
      <c r="H10" s="270">
        <v>109658.81</v>
      </c>
      <c r="I10" s="4">
        <v>351575.72</v>
      </c>
      <c r="J10" s="133">
        <v>0</v>
      </c>
      <c r="K10" s="49">
        <v>0</v>
      </c>
      <c r="L10" s="53">
        <f t="shared" si="1"/>
        <v>2</v>
      </c>
    </row>
    <row r="11" spans="1:13" ht="30">
      <c r="A11" s="193">
        <v>607</v>
      </c>
      <c r="B11" s="242" t="s">
        <v>50</v>
      </c>
      <c r="C11" s="269">
        <v>250112.88</v>
      </c>
      <c r="D11" s="269">
        <v>4620</v>
      </c>
      <c r="E11" s="355">
        <f t="shared" si="0"/>
        <v>98.15</v>
      </c>
      <c r="F11" s="201">
        <v>5</v>
      </c>
      <c r="H11" s="270">
        <v>62394.57</v>
      </c>
      <c r="I11" s="4">
        <v>20986.74</v>
      </c>
      <c r="J11" s="133">
        <v>66.36</v>
      </c>
      <c r="K11" s="49">
        <v>5</v>
      </c>
      <c r="L11" s="53">
        <f t="shared" si="1"/>
        <v>0</v>
      </c>
    </row>
    <row r="12" spans="1:13" ht="45">
      <c r="A12" s="193">
        <v>609</v>
      </c>
      <c r="B12" s="242" t="s">
        <v>37</v>
      </c>
      <c r="C12" s="269">
        <v>3536.18</v>
      </c>
      <c r="D12" s="269">
        <v>3349.97</v>
      </c>
      <c r="E12" s="355">
        <f t="shared" si="0"/>
        <v>5.27</v>
      </c>
      <c r="F12" s="201">
        <v>0</v>
      </c>
      <c r="H12" s="270">
        <v>3459.27</v>
      </c>
      <c r="I12" s="4">
        <v>0</v>
      </c>
      <c r="J12" s="133">
        <v>100</v>
      </c>
      <c r="K12" s="49">
        <v>5</v>
      </c>
      <c r="L12" s="53">
        <f t="shared" si="1"/>
        <v>-5</v>
      </c>
    </row>
    <row r="13" spans="1:13" ht="30">
      <c r="A13" s="193">
        <v>611</v>
      </c>
      <c r="B13" s="242" t="s">
        <v>47</v>
      </c>
      <c r="C13" s="269">
        <v>5431.5</v>
      </c>
      <c r="D13" s="269">
        <v>112700</v>
      </c>
      <c r="E13" s="355">
        <f t="shared" si="0"/>
        <v>-1974.93</v>
      </c>
      <c r="F13" s="201">
        <v>0</v>
      </c>
      <c r="H13" s="270">
        <v>5019823.22</v>
      </c>
      <c r="I13" s="4">
        <v>575659.11</v>
      </c>
      <c r="J13" s="133">
        <v>88.53</v>
      </c>
      <c r="K13" s="49">
        <v>5</v>
      </c>
      <c r="L13" s="53">
        <f t="shared" si="1"/>
        <v>-5</v>
      </c>
    </row>
    <row r="14" spans="1:13" ht="30">
      <c r="A14" s="193">
        <v>617</v>
      </c>
      <c r="B14" s="242" t="s">
        <v>42</v>
      </c>
      <c r="C14" s="269">
        <v>158470.25</v>
      </c>
      <c r="D14" s="269">
        <v>116428.55</v>
      </c>
      <c r="E14" s="355">
        <f t="shared" si="0"/>
        <v>26.53</v>
      </c>
      <c r="F14" s="201">
        <v>0</v>
      </c>
      <c r="H14" s="270">
        <v>73891.19</v>
      </c>
      <c r="I14" s="4">
        <v>32940</v>
      </c>
      <c r="J14" s="133">
        <v>55.42</v>
      </c>
      <c r="K14" s="49">
        <v>5</v>
      </c>
      <c r="L14" s="53">
        <f t="shared" si="1"/>
        <v>-5</v>
      </c>
    </row>
    <row r="15" spans="1:13" ht="30">
      <c r="A15" s="193">
        <v>618</v>
      </c>
      <c r="B15" s="242" t="s">
        <v>38</v>
      </c>
      <c r="C15" s="269">
        <v>16480.61</v>
      </c>
      <c r="D15" s="269">
        <v>3618.17</v>
      </c>
      <c r="E15" s="355">
        <f t="shared" si="0"/>
        <v>78.05</v>
      </c>
      <c r="F15" s="201">
        <v>0</v>
      </c>
      <c r="H15" s="270">
        <v>54724.11</v>
      </c>
      <c r="I15" s="4">
        <v>78595.240000000005</v>
      </c>
      <c r="J15" s="133">
        <v>0</v>
      </c>
      <c r="K15" s="49">
        <v>0</v>
      </c>
      <c r="L15" s="53">
        <f t="shared" si="1"/>
        <v>0</v>
      </c>
    </row>
    <row r="16" spans="1:13" ht="30">
      <c r="A16" s="193">
        <v>619</v>
      </c>
      <c r="B16" s="242" t="s">
        <v>44</v>
      </c>
      <c r="C16" s="269">
        <v>60695.89</v>
      </c>
      <c r="D16" s="269">
        <v>140576</v>
      </c>
      <c r="E16" s="355">
        <f t="shared" si="0"/>
        <v>-131.61000000000001</v>
      </c>
      <c r="F16" s="201">
        <v>0</v>
      </c>
      <c r="H16" s="270">
        <v>102393.13</v>
      </c>
      <c r="I16" s="4">
        <v>39520.879999999997</v>
      </c>
      <c r="J16" s="133">
        <v>61.4</v>
      </c>
      <c r="K16" s="49">
        <v>5</v>
      </c>
      <c r="L16" s="53">
        <f t="shared" si="1"/>
        <v>-5</v>
      </c>
    </row>
    <row r="17" spans="1:13" ht="30">
      <c r="A17" s="193">
        <v>620</v>
      </c>
      <c r="B17" s="242" t="s">
        <v>48</v>
      </c>
      <c r="C17" s="269">
        <v>2489002.09</v>
      </c>
      <c r="D17" s="269">
        <v>3215465.52</v>
      </c>
      <c r="E17" s="355">
        <f t="shared" si="0"/>
        <v>-29.19</v>
      </c>
      <c r="F17" s="201">
        <v>4</v>
      </c>
      <c r="H17" s="270">
        <v>6153265.6299999999</v>
      </c>
      <c r="I17" s="4">
        <v>2439229.7999999998</v>
      </c>
      <c r="J17" s="133">
        <v>60.36</v>
      </c>
      <c r="K17" s="49">
        <v>5</v>
      </c>
      <c r="L17" s="53">
        <f t="shared" si="1"/>
        <v>-1</v>
      </c>
      <c r="M17" s="4"/>
    </row>
    <row r="18" spans="1:13" ht="30">
      <c r="A18" s="193">
        <v>621</v>
      </c>
      <c r="B18" s="242" t="s">
        <v>54</v>
      </c>
      <c r="C18" s="269">
        <v>13251976.25</v>
      </c>
      <c r="D18" s="269">
        <v>9898940.2599999998</v>
      </c>
      <c r="E18" s="355">
        <f t="shared" si="0"/>
        <v>25.3</v>
      </c>
      <c r="F18" s="201">
        <v>0</v>
      </c>
      <c r="H18" s="270">
        <v>2019293.6</v>
      </c>
      <c r="I18" s="4">
        <v>81961.58</v>
      </c>
      <c r="J18" s="133">
        <v>95.94</v>
      </c>
      <c r="K18" s="49">
        <v>5</v>
      </c>
      <c r="L18" s="53">
        <f t="shared" si="1"/>
        <v>-5</v>
      </c>
    </row>
    <row r="19" spans="1:13" ht="45">
      <c r="A19" s="193">
        <v>624</v>
      </c>
      <c r="B19" s="242" t="s">
        <v>40</v>
      </c>
      <c r="C19" s="269">
        <v>25715.57</v>
      </c>
      <c r="D19" s="269">
        <v>31197.82</v>
      </c>
      <c r="E19" s="355">
        <f t="shared" si="0"/>
        <v>-21.32</v>
      </c>
      <c r="F19" s="201">
        <v>5</v>
      </c>
      <c r="H19" s="270">
        <v>124638.12</v>
      </c>
      <c r="I19" s="4">
        <v>139654.78</v>
      </c>
      <c r="J19" s="133">
        <v>0</v>
      </c>
      <c r="K19" s="49">
        <v>0</v>
      </c>
      <c r="L19" s="53">
        <f t="shared" si="1"/>
        <v>5</v>
      </c>
    </row>
    <row r="20" spans="1:13">
      <c r="A20" s="193">
        <v>600</v>
      </c>
      <c r="B20" s="242" t="s">
        <v>51</v>
      </c>
      <c r="C20" s="269">
        <v>177576.51</v>
      </c>
      <c r="D20" s="269">
        <v>126478.32</v>
      </c>
      <c r="E20" s="355">
        <f t="shared" si="0"/>
        <v>28.78</v>
      </c>
      <c r="F20" s="201">
        <v>1</v>
      </c>
      <c r="H20" s="258"/>
      <c r="I20" s="4"/>
      <c r="J20" s="53"/>
      <c r="L20" s="53"/>
    </row>
    <row r="21" spans="1:13" ht="30">
      <c r="A21" s="193">
        <v>643</v>
      </c>
      <c r="B21" s="242" t="s">
        <v>52</v>
      </c>
      <c r="C21" s="269">
        <v>214555.51</v>
      </c>
      <c r="D21" s="331">
        <v>0</v>
      </c>
      <c r="E21" s="355">
        <v>100</v>
      </c>
      <c r="F21" s="201">
        <v>5</v>
      </c>
      <c r="H21" s="258"/>
      <c r="I21" s="4"/>
      <c r="J21" s="53"/>
      <c r="L21" s="53"/>
    </row>
    <row r="22" spans="1:13">
      <c r="A22" s="263"/>
      <c r="B22" s="263"/>
      <c r="C22" s="319"/>
      <c r="D22" s="222"/>
      <c r="E22" s="356"/>
      <c r="F22" s="357"/>
      <c r="H22" s="258"/>
      <c r="I22" s="4"/>
      <c r="J22" s="53"/>
      <c r="L22" s="53"/>
    </row>
    <row r="23" spans="1:13">
      <c r="A23" s="263"/>
      <c r="B23" s="263" t="s">
        <v>23</v>
      </c>
      <c r="C23" s="319"/>
      <c r="D23" s="222"/>
      <c r="E23" s="265">
        <f>SUBTOTAL(9,E6:E21)</f>
        <v>-1713.95</v>
      </c>
      <c r="F23" s="357"/>
      <c r="H23" s="258"/>
      <c r="I23" s="4"/>
      <c r="J23" s="53"/>
      <c r="L23" s="53"/>
    </row>
    <row r="24" spans="1:13">
      <c r="A24" s="263"/>
      <c r="B24" s="266" t="s">
        <v>24</v>
      </c>
      <c r="C24" s="319"/>
      <c r="D24" s="222"/>
      <c r="E24" s="267">
        <f>ROUND(E23/16,2)</f>
        <v>-107.12</v>
      </c>
      <c r="F24" s="357"/>
      <c r="H24" s="258"/>
      <c r="I24" s="4"/>
      <c r="J24" s="53"/>
      <c r="L24" s="53"/>
    </row>
    <row r="25" spans="1:13">
      <c r="A25" s="51"/>
      <c r="B25" s="51"/>
      <c r="C25" s="323"/>
      <c r="D25" s="258"/>
      <c r="E25" s="53"/>
      <c r="H25" s="258"/>
      <c r="I25" s="4"/>
      <c r="J25" s="53"/>
      <c r="L25" s="53"/>
    </row>
    <row r="26" spans="1:13">
      <c r="A26" s="51"/>
      <c r="B26" s="51"/>
      <c r="C26" s="323"/>
      <c r="D26" s="258"/>
      <c r="E26" s="53"/>
      <c r="H26" s="258"/>
      <c r="I26" s="4"/>
      <c r="J26" s="53"/>
      <c r="L26" s="53"/>
    </row>
    <row r="27" spans="1:13">
      <c r="C27" s="310">
        <f>SUM(C6:C21)</f>
        <v>17899075.280000001</v>
      </c>
      <c r="D27" s="324">
        <f>SUM(D6:D21)</f>
        <v>14097999.08</v>
      </c>
      <c r="H27" s="4"/>
    </row>
    <row r="28" spans="1:13">
      <c r="C28" s="310">
        <v>198474.58</v>
      </c>
      <c r="D28" s="324">
        <v>307655.25</v>
      </c>
      <c r="H28" s="325"/>
    </row>
    <row r="29" spans="1:13">
      <c r="C29" s="310">
        <v>5500.56</v>
      </c>
      <c r="D29" s="324">
        <v>58946.32</v>
      </c>
      <c r="H29" s="4"/>
    </row>
    <row r="30" spans="1:13">
      <c r="C30" s="326">
        <f>SUM(C27:C29)</f>
        <v>18103050.419999998</v>
      </c>
      <c r="D30" s="326">
        <f>SUM(D27:D29)</f>
        <v>14464600.65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F1"/>
    <mergeCell ref="A2:F2"/>
  </mergeCells>
  <pageMargins left="0.35433070866141736" right="0.19685039370078738" top="0.74803149606299213" bottom="0.74803149606299213" header="0.31496062992125984" footer="0.31496062992125984"/>
  <pageSetup paperSize="9" scale="77" orientation="portrait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2">
    <tabColor rgb="FF00B050"/>
  </sheetPr>
  <dimension ref="A1:K26"/>
  <sheetViews>
    <sheetView zoomScale="110" workbookViewId="0">
      <selection activeCell="E11" sqref="E11"/>
    </sheetView>
  </sheetViews>
  <sheetFormatPr defaultRowHeight="15"/>
  <cols>
    <col min="1" max="1" width="8.42578125" style="46" customWidth="1"/>
    <col min="2" max="2" width="41.140625" style="3" customWidth="1"/>
    <col min="3" max="3" width="24.85546875" style="3" customWidth="1"/>
    <col min="4" max="4" width="22" style="3" customWidth="1"/>
    <col min="5" max="5" width="13.140625" style="3" customWidth="1"/>
    <col min="6" max="6" width="19.5703125" style="3" customWidth="1"/>
    <col min="7" max="10" width="9.140625" style="3"/>
    <col min="11" max="11" width="11.85546875" style="3" bestFit="1" customWidth="1"/>
    <col min="12" max="16384" width="9.140625" style="3"/>
  </cols>
  <sheetData>
    <row r="1" spans="1:11" s="178" customFormat="1" ht="20.25">
      <c r="A1" s="447" t="s">
        <v>107</v>
      </c>
      <c r="B1" s="447"/>
      <c r="C1" s="447"/>
      <c r="D1" s="447"/>
      <c r="E1" s="447"/>
    </row>
    <row r="2" spans="1:11" ht="88.5" customHeight="1">
      <c r="A2" s="448" t="s">
        <v>205</v>
      </c>
      <c r="B2" s="448"/>
      <c r="C2" s="448"/>
      <c r="D2" s="448"/>
      <c r="E2" s="448"/>
      <c r="F2" s="46" t="s">
        <v>206</v>
      </c>
    </row>
    <row r="5" spans="1:11" ht="165">
      <c r="A5" s="47" t="s">
        <v>35</v>
      </c>
      <c r="B5" s="47" t="s">
        <v>2</v>
      </c>
      <c r="C5" s="47" t="s">
        <v>207</v>
      </c>
      <c r="D5" s="47" t="s">
        <v>208</v>
      </c>
      <c r="E5" s="47" t="s">
        <v>139</v>
      </c>
    </row>
    <row r="6" spans="1:11">
      <c r="A6" s="233">
        <v>600</v>
      </c>
      <c r="B6" s="358" t="s">
        <v>51</v>
      </c>
      <c r="C6" s="279"/>
      <c r="D6" s="339"/>
      <c r="E6" s="339"/>
    </row>
    <row r="7" spans="1:11">
      <c r="A7" s="219">
        <v>601</v>
      </c>
      <c r="B7" s="219" t="s">
        <v>13</v>
      </c>
      <c r="C7" s="279">
        <v>0</v>
      </c>
      <c r="D7" s="339">
        <v>0</v>
      </c>
      <c r="E7" s="339">
        <v>5</v>
      </c>
      <c r="F7" s="3" t="str">
        <f t="shared" ref="F7:F20" si="0">IF(D7=0,"5","0")</f>
        <v>5</v>
      </c>
    </row>
    <row r="8" spans="1:11" ht="30">
      <c r="A8" s="193">
        <v>602</v>
      </c>
      <c r="B8" s="193" t="s">
        <v>53</v>
      </c>
      <c r="C8" s="279">
        <v>0</v>
      </c>
      <c r="D8" s="339">
        <v>0</v>
      </c>
      <c r="E8" s="339">
        <v>5</v>
      </c>
      <c r="F8" s="3" t="str">
        <f t="shared" si="0"/>
        <v>5</v>
      </c>
    </row>
    <row r="9" spans="1:11" ht="30">
      <c r="A9" s="193">
        <v>604</v>
      </c>
      <c r="B9" s="193" t="s">
        <v>49</v>
      </c>
      <c r="C9" s="279">
        <v>0</v>
      </c>
      <c r="D9" s="339">
        <v>0</v>
      </c>
      <c r="E9" s="339">
        <v>5</v>
      </c>
      <c r="F9" s="3" t="str">
        <f t="shared" si="0"/>
        <v>5</v>
      </c>
    </row>
    <row r="10" spans="1:11" ht="45">
      <c r="A10" s="193">
        <v>605</v>
      </c>
      <c r="B10" s="193" t="s">
        <v>45</v>
      </c>
      <c r="C10" s="279">
        <v>0</v>
      </c>
      <c r="D10" s="339">
        <v>0</v>
      </c>
      <c r="E10" s="339">
        <v>5</v>
      </c>
      <c r="F10" s="3" t="str">
        <f t="shared" si="0"/>
        <v>5</v>
      </c>
      <c r="K10" s="189"/>
    </row>
    <row r="11" spans="1:11" ht="30">
      <c r="A11" s="193">
        <v>606</v>
      </c>
      <c r="B11" s="193" t="s">
        <v>46</v>
      </c>
      <c r="C11" s="279">
        <v>0</v>
      </c>
      <c r="D11" s="339">
        <v>0</v>
      </c>
      <c r="E11" s="339">
        <v>5</v>
      </c>
      <c r="F11" s="3" t="str">
        <f t="shared" si="0"/>
        <v>5</v>
      </c>
    </row>
    <row r="12" spans="1:11" ht="30">
      <c r="A12" s="193">
        <v>607</v>
      </c>
      <c r="B12" s="193" t="s">
        <v>50</v>
      </c>
      <c r="C12" s="279">
        <v>0</v>
      </c>
      <c r="D12" s="339">
        <v>0</v>
      </c>
      <c r="E12" s="339">
        <v>5</v>
      </c>
      <c r="F12" s="3" t="str">
        <f t="shared" si="0"/>
        <v>5</v>
      </c>
    </row>
    <row r="13" spans="1:11" ht="45">
      <c r="A13" s="193">
        <v>609</v>
      </c>
      <c r="B13" s="193" t="s">
        <v>37</v>
      </c>
      <c r="C13" s="279">
        <v>0</v>
      </c>
      <c r="D13" s="339">
        <v>0</v>
      </c>
      <c r="E13" s="339">
        <v>5</v>
      </c>
      <c r="F13" s="3" t="str">
        <f t="shared" si="0"/>
        <v>5</v>
      </c>
    </row>
    <row r="14" spans="1:11" ht="30">
      <c r="A14" s="193">
        <v>611</v>
      </c>
      <c r="B14" s="193" t="s">
        <v>47</v>
      </c>
      <c r="C14" s="279">
        <v>0</v>
      </c>
      <c r="D14" s="339">
        <v>0</v>
      </c>
      <c r="E14" s="339">
        <v>5</v>
      </c>
      <c r="F14" s="3" t="str">
        <f t="shared" si="0"/>
        <v>5</v>
      </c>
    </row>
    <row r="15" spans="1:11" ht="30">
      <c r="A15" s="193">
        <v>617</v>
      </c>
      <c r="B15" s="193" t="s">
        <v>42</v>
      </c>
      <c r="C15" s="279">
        <v>0</v>
      </c>
      <c r="D15" s="339">
        <v>0</v>
      </c>
      <c r="E15" s="339">
        <v>5</v>
      </c>
      <c r="F15" s="3" t="str">
        <f t="shared" si="0"/>
        <v>5</v>
      </c>
    </row>
    <row r="16" spans="1:11" ht="30">
      <c r="A16" s="193">
        <v>618</v>
      </c>
      <c r="B16" s="193" t="s">
        <v>38</v>
      </c>
      <c r="C16" s="279">
        <v>0</v>
      </c>
      <c r="D16" s="339">
        <v>0</v>
      </c>
      <c r="E16" s="339">
        <v>5</v>
      </c>
      <c r="F16" s="3" t="str">
        <f t="shared" si="0"/>
        <v>5</v>
      </c>
    </row>
    <row r="17" spans="1:6" ht="30">
      <c r="A17" s="193">
        <v>619</v>
      </c>
      <c r="B17" s="193" t="s">
        <v>44</v>
      </c>
      <c r="C17" s="279">
        <v>0</v>
      </c>
      <c r="D17" s="339">
        <v>0</v>
      </c>
      <c r="E17" s="339">
        <v>5</v>
      </c>
      <c r="F17" s="3" t="str">
        <f t="shared" si="0"/>
        <v>5</v>
      </c>
    </row>
    <row r="18" spans="1:6" ht="30">
      <c r="A18" s="193">
        <v>620</v>
      </c>
      <c r="B18" s="193" t="s">
        <v>48</v>
      </c>
      <c r="C18" s="279">
        <v>0</v>
      </c>
      <c r="D18" s="339">
        <v>0</v>
      </c>
      <c r="E18" s="339">
        <v>5</v>
      </c>
      <c r="F18" s="3" t="str">
        <f t="shared" si="0"/>
        <v>5</v>
      </c>
    </row>
    <row r="19" spans="1:6" ht="30">
      <c r="A19" s="193">
        <v>621</v>
      </c>
      <c r="B19" s="193" t="s">
        <v>54</v>
      </c>
      <c r="C19" s="359">
        <v>263634.02</v>
      </c>
      <c r="D19" s="337">
        <v>263634.02</v>
      </c>
      <c r="E19" s="339">
        <v>0</v>
      </c>
      <c r="F19" s="3" t="str">
        <f t="shared" si="0"/>
        <v>0</v>
      </c>
    </row>
    <row r="20" spans="1:6" ht="45">
      <c r="A20" s="193">
        <v>624</v>
      </c>
      <c r="B20" s="193" t="s">
        <v>40</v>
      </c>
      <c r="C20" s="269">
        <v>0</v>
      </c>
      <c r="D20" s="339">
        <v>0</v>
      </c>
      <c r="E20" s="339">
        <v>5</v>
      </c>
      <c r="F20" s="3" t="str">
        <f t="shared" si="0"/>
        <v>5</v>
      </c>
    </row>
    <row r="21" spans="1:6" ht="30">
      <c r="A21" s="360">
        <v>643</v>
      </c>
      <c r="B21" s="242" t="s">
        <v>52</v>
      </c>
      <c r="C21" s="269"/>
      <c r="D21" s="213"/>
      <c r="E21" s="213"/>
    </row>
    <row r="22" spans="1:6">
      <c r="A22" s="51"/>
      <c r="B22" s="51"/>
      <c r="C22" s="361"/>
      <c r="D22" s="348"/>
      <c r="E22" s="348"/>
      <c r="F22" s="208"/>
    </row>
    <row r="23" spans="1:6">
      <c r="A23" s="51"/>
      <c r="B23" s="51" t="s">
        <v>23</v>
      </c>
      <c r="C23" s="361"/>
      <c r="D23" s="362">
        <v>263634.02</v>
      </c>
      <c r="E23" s="348"/>
      <c r="F23" s="208"/>
    </row>
    <row r="24" spans="1:6">
      <c r="A24" s="51"/>
      <c r="B24" s="54" t="s">
        <v>24</v>
      </c>
      <c r="C24" s="361"/>
      <c r="D24" s="363">
        <v>18831</v>
      </c>
      <c r="E24" s="348"/>
      <c r="F24" s="208"/>
    </row>
    <row r="25" spans="1:6">
      <c r="A25" s="51"/>
      <c r="B25" s="51"/>
      <c r="C25" s="361"/>
      <c r="D25" s="348"/>
      <c r="E25" s="348"/>
      <c r="F25" s="208"/>
    </row>
    <row r="26" spans="1:6">
      <c r="C26" s="354">
        <f>SUM(C7:C20)</f>
        <v>263634.02</v>
      </c>
      <c r="D26" s="137"/>
      <c r="E26" s="137"/>
      <c r="F26" s="137"/>
    </row>
  </sheetData>
  <sheetProtection formatCells="0" formatColumns="0" formatRows="0" insertColumns="0" insertRows="0" insertHyperlinks="0" deleteColumns="0" deleteRows="0" sort="0" autoFilter="0" pivotTables="0"/>
  <mergeCells count="2">
    <mergeCell ref="A1:E1"/>
    <mergeCell ref="A2:E2"/>
  </mergeCells>
  <pageMargins left="0.35433070866141736" right="0.19685039370078738" top="0.74803149606299213" bottom="0.74803149606299213" header="0.31496062992125984" footer="0.31496062992125984"/>
  <pageSetup paperSize="9" scale="73" orientation="portrait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15">
    <tabColor rgb="FF00B050"/>
  </sheetPr>
  <dimension ref="A1:G26"/>
  <sheetViews>
    <sheetView topLeftCell="A10" zoomScale="110" workbookViewId="0">
      <selection activeCell="E11" sqref="E11"/>
    </sheetView>
  </sheetViews>
  <sheetFormatPr defaultColWidth="9.140625" defaultRowHeight="15"/>
  <cols>
    <col min="1" max="1" width="8.42578125" style="46" customWidth="1"/>
    <col min="2" max="2" width="46.42578125" style="3" customWidth="1"/>
    <col min="3" max="3" width="24.85546875" style="3" customWidth="1"/>
    <col min="4" max="4" width="22.85546875" style="3" customWidth="1"/>
    <col min="5" max="5" width="16.42578125" style="3" customWidth="1"/>
    <col min="6" max="6" width="13.140625" style="3" customWidth="1"/>
    <col min="7" max="7" width="14.140625" style="3" bestFit="1" customWidth="1"/>
    <col min="8" max="11" width="9.140625" style="3"/>
    <col min="12" max="12" width="11.85546875" style="3" bestFit="1" customWidth="1"/>
    <col min="13" max="16384" width="9.140625" style="3"/>
  </cols>
  <sheetData>
    <row r="1" spans="1:7" s="178" customFormat="1" ht="20.25">
      <c r="A1" s="447" t="s">
        <v>107</v>
      </c>
      <c r="B1" s="447"/>
      <c r="C1" s="447"/>
      <c r="D1" s="447"/>
      <c r="E1" s="447"/>
      <c r="F1" s="447"/>
    </row>
    <row r="2" spans="1:7" ht="39.6" customHeight="1">
      <c r="A2" s="448" t="s">
        <v>209</v>
      </c>
      <c r="B2" s="448"/>
      <c r="C2" s="448"/>
      <c r="D2" s="448"/>
      <c r="E2" s="448"/>
      <c r="F2" s="448"/>
    </row>
    <row r="3" spans="1:7" ht="30">
      <c r="D3" s="46" t="s">
        <v>197</v>
      </c>
    </row>
    <row r="5" spans="1:7" ht="135">
      <c r="A5" s="232" t="s">
        <v>35</v>
      </c>
      <c r="B5" s="232" t="s">
        <v>2</v>
      </c>
      <c r="C5" s="232" t="s">
        <v>210</v>
      </c>
      <c r="D5" s="232" t="s">
        <v>211</v>
      </c>
      <c r="E5" s="47" t="s">
        <v>212</v>
      </c>
      <c r="F5" s="47" t="s">
        <v>139</v>
      </c>
      <c r="G5" s="47" t="s">
        <v>213</v>
      </c>
    </row>
    <row r="6" spans="1:7">
      <c r="A6" s="236">
        <v>600</v>
      </c>
      <c r="B6" s="364" t="s">
        <v>51</v>
      </c>
      <c r="C6" s="235">
        <v>13142.94</v>
      </c>
      <c r="D6" s="236">
        <v>0</v>
      </c>
      <c r="E6" s="365">
        <v>0</v>
      </c>
      <c r="F6" s="366">
        <v>0</v>
      </c>
    </row>
    <row r="7" spans="1:7">
      <c r="A7" s="367">
        <v>601</v>
      </c>
      <c r="B7" s="367" t="s">
        <v>13</v>
      </c>
      <c r="C7" s="235">
        <v>784028.91</v>
      </c>
      <c r="D7" s="235">
        <v>696873.97</v>
      </c>
      <c r="E7" s="368">
        <f t="shared" ref="E7:E20" si="0">ROUND((C7/D7*100)-100,2)</f>
        <v>12.51</v>
      </c>
      <c r="F7" s="243">
        <v>5</v>
      </c>
      <c r="G7" s="208" t="e">
        <f>SUM(#REF!-#REF!)</f>
        <v>#REF!</v>
      </c>
    </row>
    <row r="8" spans="1:7" ht="30">
      <c r="A8" s="367">
        <v>602</v>
      </c>
      <c r="B8" s="367" t="s">
        <v>53</v>
      </c>
      <c r="C8" s="235">
        <v>760135076.24000001</v>
      </c>
      <c r="D8" s="235">
        <v>735305857.11000001</v>
      </c>
      <c r="E8" s="368">
        <f t="shared" si="0"/>
        <v>3.38</v>
      </c>
      <c r="F8" s="243">
        <v>5</v>
      </c>
      <c r="G8" s="208" t="e">
        <f>SUM(#REF!-#REF!)</f>
        <v>#REF!</v>
      </c>
    </row>
    <row r="9" spans="1:7" ht="30">
      <c r="A9" s="367">
        <v>604</v>
      </c>
      <c r="B9" s="367" t="s">
        <v>49</v>
      </c>
      <c r="C9" s="235">
        <v>50000</v>
      </c>
      <c r="D9" s="235">
        <v>8330</v>
      </c>
      <c r="E9" s="368">
        <f t="shared" si="0"/>
        <v>500.24</v>
      </c>
      <c r="F9" s="243">
        <v>5</v>
      </c>
      <c r="G9" s="208" t="e">
        <f>SUM(#REF!-#REF!)</f>
        <v>#REF!</v>
      </c>
    </row>
    <row r="10" spans="1:7" ht="30">
      <c r="A10" s="367">
        <v>605</v>
      </c>
      <c r="B10" s="367" t="s">
        <v>69</v>
      </c>
      <c r="C10" s="235">
        <v>18203001.629999999</v>
      </c>
      <c r="D10" s="235">
        <v>17308965.309999999</v>
      </c>
      <c r="E10" s="368">
        <f t="shared" si="0"/>
        <v>5.17</v>
      </c>
      <c r="F10" s="243">
        <v>5</v>
      </c>
      <c r="G10" s="208" t="e">
        <f>SUM(#REF!-#REF!)</f>
        <v>#REF!</v>
      </c>
    </row>
    <row r="11" spans="1:7" ht="30">
      <c r="A11" s="367">
        <v>606</v>
      </c>
      <c r="B11" s="367" t="s">
        <v>46</v>
      </c>
      <c r="C11" s="235">
        <v>24457.3</v>
      </c>
      <c r="D11" s="235">
        <v>84140</v>
      </c>
      <c r="E11" s="368">
        <f t="shared" si="0"/>
        <v>-70.930000000000007</v>
      </c>
      <c r="F11" s="243">
        <v>0</v>
      </c>
      <c r="G11" s="208" t="e">
        <f>SUM(#REF!-#REF!)</f>
        <v>#REF!</v>
      </c>
    </row>
    <row r="12" spans="1:7" ht="30">
      <c r="A12" s="367">
        <v>607</v>
      </c>
      <c r="B12" s="367" t="s">
        <v>50</v>
      </c>
      <c r="C12" s="235">
        <v>80592.84</v>
      </c>
      <c r="D12" s="236">
        <v>0</v>
      </c>
      <c r="E12" s="368">
        <v>0</v>
      </c>
      <c r="F12" s="243">
        <v>0</v>
      </c>
      <c r="G12" s="208" t="e">
        <f>SUM(#REF!-#REF!)</f>
        <v>#REF!</v>
      </c>
    </row>
    <row r="13" spans="1:7" ht="30">
      <c r="A13" s="367">
        <v>609</v>
      </c>
      <c r="B13" s="367" t="s">
        <v>37</v>
      </c>
      <c r="C13" s="235">
        <v>2227905.34</v>
      </c>
      <c r="D13" s="235">
        <v>2140568.2000000002</v>
      </c>
      <c r="E13" s="368">
        <f t="shared" si="0"/>
        <v>4.08</v>
      </c>
      <c r="F13" s="243">
        <v>5</v>
      </c>
      <c r="G13" s="208" t="e">
        <f>SUM(#REF!-#REF!)</f>
        <v>#REF!</v>
      </c>
    </row>
    <row r="14" spans="1:7" ht="30">
      <c r="A14" s="367">
        <v>611</v>
      </c>
      <c r="B14" s="367" t="s">
        <v>47</v>
      </c>
      <c r="C14" s="243" t="s">
        <v>92</v>
      </c>
      <c r="D14" s="243" t="s">
        <v>92</v>
      </c>
      <c r="E14" s="368">
        <v>0</v>
      </c>
      <c r="F14" s="243">
        <v>0</v>
      </c>
      <c r="G14" s="208" t="e">
        <f>SUM(#REF!-#REF!)</f>
        <v>#REF!</v>
      </c>
    </row>
    <row r="15" spans="1:7" ht="30">
      <c r="A15" s="367">
        <v>617</v>
      </c>
      <c r="B15" s="367" t="s">
        <v>42</v>
      </c>
      <c r="C15" s="235">
        <v>1396477.53</v>
      </c>
      <c r="D15" s="235">
        <v>1275977.05</v>
      </c>
      <c r="E15" s="368">
        <f t="shared" si="0"/>
        <v>9.44</v>
      </c>
      <c r="F15" s="243">
        <v>5</v>
      </c>
      <c r="G15" s="208" t="e">
        <f>SUM(#REF!-#REF!)</f>
        <v>#REF!</v>
      </c>
    </row>
    <row r="16" spans="1:7" ht="30">
      <c r="A16" s="367">
        <v>618</v>
      </c>
      <c r="B16" s="367" t="s">
        <v>38</v>
      </c>
      <c r="C16" s="235">
        <v>873435.05</v>
      </c>
      <c r="D16" s="235">
        <v>823595</v>
      </c>
      <c r="E16" s="368">
        <f t="shared" si="0"/>
        <v>6.05</v>
      </c>
      <c r="F16" s="243">
        <v>5</v>
      </c>
      <c r="G16" s="208" t="e">
        <f>SUM(#REF!-#REF!)</f>
        <v>#REF!</v>
      </c>
    </row>
    <row r="17" spans="1:7" ht="30">
      <c r="A17" s="367">
        <v>619</v>
      </c>
      <c r="B17" s="367" t="s">
        <v>44</v>
      </c>
      <c r="C17" s="235">
        <v>4343508.83</v>
      </c>
      <c r="D17" s="235">
        <v>3978345.31</v>
      </c>
      <c r="E17" s="368">
        <f t="shared" si="0"/>
        <v>9.18</v>
      </c>
      <c r="F17" s="243">
        <v>5</v>
      </c>
      <c r="G17" s="208" t="e">
        <f>SUM(#REF!-#REF!)</f>
        <v>#REF!</v>
      </c>
    </row>
    <row r="18" spans="1:7" ht="30">
      <c r="A18" s="367">
        <v>620</v>
      </c>
      <c r="B18" s="367" t="s">
        <v>48</v>
      </c>
      <c r="C18" s="235">
        <v>8957414.2699999996</v>
      </c>
      <c r="D18" s="235">
        <v>7470997.79</v>
      </c>
      <c r="E18" s="368">
        <f t="shared" si="0"/>
        <v>19.899999999999999</v>
      </c>
      <c r="F18" s="243">
        <v>5</v>
      </c>
      <c r="G18" s="208" t="e">
        <f>SUM(#REF!-#REF!)</f>
        <v>#REF!</v>
      </c>
    </row>
    <row r="19" spans="1:7" ht="30">
      <c r="A19" s="367">
        <v>621</v>
      </c>
      <c r="B19" s="367" t="s">
        <v>54</v>
      </c>
      <c r="C19" s="235">
        <v>60596835.119999997</v>
      </c>
      <c r="D19" s="235">
        <v>52498832.640000001</v>
      </c>
      <c r="E19" s="368">
        <f t="shared" si="0"/>
        <v>15.43</v>
      </c>
      <c r="F19" s="243">
        <v>5</v>
      </c>
      <c r="G19" s="208" t="e">
        <f>SUM(#REF!-#REF!)</f>
        <v>#REF!</v>
      </c>
    </row>
    <row r="20" spans="1:7" ht="45">
      <c r="A20" s="367">
        <v>624</v>
      </c>
      <c r="B20" s="367" t="s">
        <v>40</v>
      </c>
      <c r="C20" s="235">
        <v>1227650.3400000001</v>
      </c>
      <c r="D20" s="235">
        <v>1346435</v>
      </c>
      <c r="E20" s="368">
        <f t="shared" si="0"/>
        <v>-8.82</v>
      </c>
      <c r="F20" s="243">
        <v>0</v>
      </c>
      <c r="G20" s="208" t="e">
        <f>SUM(#REF!-#REF!)</f>
        <v>#REF!</v>
      </c>
    </row>
    <row r="21" spans="1:7">
      <c r="A21" s="367">
        <v>643</v>
      </c>
      <c r="B21" s="367" t="s">
        <v>52</v>
      </c>
      <c r="C21" s="241" t="s">
        <v>92</v>
      </c>
      <c r="D21" s="243" t="s">
        <v>92</v>
      </c>
      <c r="E21" s="365">
        <v>0</v>
      </c>
      <c r="F21" s="245">
        <v>0</v>
      </c>
      <c r="G21" s="208"/>
    </row>
    <row r="22" spans="1:7">
      <c r="A22" s="51"/>
      <c r="B22" s="51"/>
      <c r="C22" s="361"/>
      <c r="D22" s="361"/>
      <c r="E22" s="181">
        <f>SUBTOTAL(9,E6:E21)</f>
        <v>505.62999999999994</v>
      </c>
      <c r="F22" s="348"/>
      <c r="G22" s="208"/>
    </row>
    <row r="23" spans="1:7">
      <c r="A23" s="51"/>
      <c r="B23" s="51" t="s">
        <v>23</v>
      </c>
      <c r="C23" s="361"/>
      <c r="D23" s="361"/>
      <c r="E23" s="276">
        <f>ROUND(E22/14,2)</f>
        <v>36.119999999999997</v>
      </c>
      <c r="F23" s="369">
        <v>50</v>
      </c>
      <c r="G23" s="208"/>
    </row>
    <row r="24" spans="1:7">
      <c r="A24" s="51"/>
      <c r="B24" s="54" t="s">
        <v>24</v>
      </c>
      <c r="C24" s="361"/>
      <c r="D24" s="361"/>
      <c r="E24" s="348"/>
      <c r="F24" s="370">
        <v>4.17</v>
      </c>
      <c r="G24" s="208"/>
    </row>
    <row r="25" spans="1:7">
      <c r="A25" s="51"/>
      <c r="B25" s="51"/>
      <c r="C25" s="354">
        <f>SUM(C6:C21)</f>
        <v>858913526.34000003</v>
      </c>
      <c r="D25" s="354">
        <f>SUM(D6:D21)</f>
        <v>822938917.37999988</v>
      </c>
      <c r="E25" s="137"/>
      <c r="F25" s="137"/>
      <c r="G25" s="208"/>
    </row>
    <row r="26" spans="1:7">
      <c r="C26" s="354" t="e">
        <f>SUM(#REF!)</f>
        <v>#REF!</v>
      </c>
      <c r="D26" s="371">
        <f>SUM(D22:D22)</f>
        <v>0</v>
      </c>
      <c r="E26" s="137"/>
      <c r="F26" s="137"/>
      <c r="G26" s="137"/>
    </row>
  </sheetData>
  <sheetProtection formatCells="0" formatColumns="0" formatRows="0" insertColumns="0" insertRows="0" insertHyperlinks="0" deleteColumns="0" deleteRows="0" sort="0" autoFilter="0" pivotTables="0"/>
  <sortState ref="A6:G19">
    <sortCondition ref="A6"/>
  </sortState>
  <mergeCells count="2">
    <mergeCell ref="A1:F1"/>
    <mergeCell ref="A2:F2"/>
  </mergeCells>
  <pageMargins left="0.35433070866141736" right="0.19685039370078738" top="0.74803149606299213" bottom="0.74803149606299213" header="0.31496062992125984" footer="0.31496062992125984"/>
  <pageSetup paperSize="9" scale="73"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>
    <tabColor rgb="FF00B050"/>
  </sheetPr>
  <dimension ref="A1:E21"/>
  <sheetViews>
    <sheetView topLeftCell="A4" zoomScale="84" workbookViewId="0">
      <selection activeCell="S23" activeCellId="1" sqref="A6:E21 S23"/>
    </sheetView>
  </sheetViews>
  <sheetFormatPr defaultColWidth="9.140625" defaultRowHeight="15"/>
  <cols>
    <col min="1" max="1" width="8.42578125" style="46" customWidth="1"/>
    <col min="2" max="2" width="41.140625" style="3" customWidth="1"/>
    <col min="3" max="3" width="24.85546875" style="3" customWidth="1"/>
    <col min="4" max="4" width="26.140625" style="3" customWidth="1"/>
    <col min="5" max="5" width="13.140625" style="3" customWidth="1"/>
    <col min="6" max="16384" width="9.140625" style="3"/>
  </cols>
  <sheetData>
    <row r="1" spans="1:5" s="178" customFormat="1" ht="20.45" customHeight="1">
      <c r="A1" s="447" t="s">
        <v>119</v>
      </c>
      <c r="B1" s="447"/>
      <c r="C1" s="447"/>
      <c r="D1" s="447"/>
      <c r="E1" s="447"/>
    </row>
    <row r="2" spans="1:5" ht="49.15" customHeight="1">
      <c r="A2" s="448" t="s">
        <v>214</v>
      </c>
      <c r="B2" s="448"/>
      <c r="C2" s="448"/>
      <c r="D2" s="448"/>
      <c r="E2" s="448"/>
    </row>
    <row r="3" spans="1:5" ht="30">
      <c r="C3" s="46" t="s">
        <v>197</v>
      </c>
      <c r="D3" s="46" t="s">
        <v>197</v>
      </c>
    </row>
    <row r="5" spans="1:5" ht="210">
      <c r="A5" s="47" t="s">
        <v>35</v>
      </c>
      <c r="B5" s="47" t="s">
        <v>2</v>
      </c>
      <c r="C5" s="47" t="s">
        <v>215</v>
      </c>
      <c r="D5" s="47" t="s">
        <v>216</v>
      </c>
      <c r="E5" s="47" t="s">
        <v>139</v>
      </c>
    </row>
    <row r="6" spans="1:5">
      <c r="A6" s="219">
        <v>600</v>
      </c>
      <c r="B6" s="219" t="s">
        <v>51</v>
      </c>
      <c r="C6" s="372">
        <v>5</v>
      </c>
      <c r="D6" s="268"/>
      <c r="E6" s="372">
        <v>5</v>
      </c>
    </row>
    <row r="7" spans="1:5">
      <c r="A7" s="219">
        <v>601</v>
      </c>
      <c r="B7" s="219" t="s">
        <v>13</v>
      </c>
      <c r="C7" s="373">
        <v>5</v>
      </c>
      <c r="D7" s="373"/>
      <c r="E7" s="373">
        <v>5</v>
      </c>
    </row>
    <row r="8" spans="1:5" ht="30">
      <c r="A8" s="193">
        <v>602</v>
      </c>
      <c r="B8" s="193" t="s">
        <v>53</v>
      </c>
      <c r="C8" s="373">
        <v>5</v>
      </c>
      <c r="D8" s="373"/>
      <c r="E8" s="373">
        <v>5</v>
      </c>
    </row>
    <row r="9" spans="1:5" ht="30">
      <c r="A9" s="193">
        <v>604</v>
      </c>
      <c r="B9" s="193" t="s">
        <v>49</v>
      </c>
      <c r="C9" s="373">
        <v>5</v>
      </c>
      <c r="D9" s="373"/>
      <c r="E9" s="373">
        <v>5</v>
      </c>
    </row>
    <row r="10" spans="1:5" ht="45">
      <c r="A10" s="193">
        <v>605</v>
      </c>
      <c r="B10" s="193" t="s">
        <v>45</v>
      </c>
      <c r="C10" s="373">
        <v>5</v>
      </c>
      <c r="D10" s="373"/>
      <c r="E10" s="373">
        <v>5</v>
      </c>
    </row>
    <row r="11" spans="1:5" ht="30">
      <c r="A11" s="193">
        <v>606</v>
      </c>
      <c r="B11" s="193" t="s">
        <v>46</v>
      </c>
      <c r="C11" s="373">
        <v>5</v>
      </c>
      <c r="D11" s="373"/>
      <c r="E11" s="373">
        <v>5</v>
      </c>
    </row>
    <row r="12" spans="1:5" ht="30">
      <c r="A12" s="193">
        <v>607</v>
      </c>
      <c r="B12" s="193" t="s">
        <v>50</v>
      </c>
      <c r="C12" s="373">
        <v>5</v>
      </c>
      <c r="D12" s="373"/>
      <c r="E12" s="373">
        <v>5</v>
      </c>
    </row>
    <row r="13" spans="1:5" ht="45">
      <c r="A13" s="193">
        <v>609</v>
      </c>
      <c r="B13" s="193" t="s">
        <v>37</v>
      </c>
      <c r="C13" s="373">
        <v>5</v>
      </c>
      <c r="D13" s="373"/>
      <c r="E13" s="373">
        <v>5</v>
      </c>
    </row>
    <row r="14" spans="1:5" ht="30">
      <c r="A14" s="193">
        <v>611</v>
      </c>
      <c r="B14" s="193" t="s">
        <v>47</v>
      </c>
      <c r="C14" s="373">
        <v>5</v>
      </c>
      <c r="D14" s="373"/>
      <c r="E14" s="373">
        <v>5</v>
      </c>
    </row>
    <row r="15" spans="1:5" ht="30">
      <c r="A15" s="193">
        <v>617</v>
      </c>
      <c r="B15" s="193" t="s">
        <v>42</v>
      </c>
      <c r="C15" s="374">
        <v>5</v>
      </c>
      <c r="D15" s="373"/>
      <c r="E15" s="374">
        <v>5</v>
      </c>
    </row>
    <row r="16" spans="1:5" ht="30">
      <c r="A16" s="193">
        <v>618</v>
      </c>
      <c r="B16" s="193" t="s">
        <v>38</v>
      </c>
      <c r="C16" s="373">
        <v>5</v>
      </c>
      <c r="D16" s="373"/>
      <c r="E16" s="373">
        <v>5</v>
      </c>
    </row>
    <row r="17" spans="1:5" ht="30">
      <c r="A17" s="193">
        <v>619</v>
      </c>
      <c r="B17" s="193" t="s">
        <v>44</v>
      </c>
      <c r="C17" s="373">
        <v>5</v>
      </c>
      <c r="D17" s="373"/>
      <c r="E17" s="373">
        <v>5</v>
      </c>
    </row>
    <row r="18" spans="1:5" ht="30">
      <c r="A18" s="193">
        <v>620</v>
      </c>
      <c r="B18" s="193" t="s">
        <v>48</v>
      </c>
      <c r="C18" s="373">
        <v>5</v>
      </c>
      <c r="D18" s="373"/>
      <c r="E18" s="373">
        <v>5</v>
      </c>
    </row>
    <row r="19" spans="1:5" ht="30">
      <c r="A19" s="193">
        <v>621</v>
      </c>
      <c r="B19" s="193" t="s">
        <v>54</v>
      </c>
      <c r="C19" s="373">
        <v>5</v>
      </c>
      <c r="D19" s="373"/>
      <c r="E19" s="373">
        <v>5</v>
      </c>
    </row>
    <row r="20" spans="1:5" ht="45">
      <c r="A20" s="193">
        <v>624</v>
      </c>
      <c r="B20" s="193" t="s">
        <v>40</v>
      </c>
      <c r="C20" s="373">
        <v>5</v>
      </c>
      <c r="D20" s="373"/>
      <c r="E20" s="373">
        <v>5</v>
      </c>
    </row>
    <row r="21" spans="1:5">
      <c r="A21" s="375">
        <v>643</v>
      </c>
      <c r="B21" s="196" t="s">
        <v>52</v>
      </c>
      <c r="C21" s="373">
        <v>5</v>
      </c>
      <c r="D21" s="196"/>
      <c r="E21" s="373">
        <v>5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E1"/>
    <mergeCell ref="A2:E2"/>
  </mergeCells>
  <pageMargins left="0.51181102362204722" right="0.19685039370078738" top="0.74803149606299213" bottom="0.74803149606299213" header="0.31496062992125984" footer="0.31496062992125984"/>
  <pageSetup paperSize="9" scale="84"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>
    <tabColor rgb="FF00B050"/>
  </sheetPr>
  <dimension ref="A1:E27"/>
  <sheetViews>
    <sheetView zoomScale="84" workbookViewId="0">
      <selection activeCell="S23" activeCellId="1" sqref="A6:E21 S23"/>
    </sheetView>
  </sheetViews>
  <sheetFormatPr defaultColWidth="9.140625" defaultRowHeight="15"/>
  <cols>
    <col min="1" max="1" width="8.42578125" style="46" customWidth="1"/>
    <col min="2" max="2" width="41.140625" style="3" customWidth="1"/>
    <col min="3" max="3" width="24.85546875" style="3" customWidth="1"/>
    <col min="4" max="4" width="26.140625" style="3" customWidth="1"/>
    <col min="5" max="5" width="13.140625" style="3" customWidth="1"/>
    <col min="6" max="16384" width="9.140625" style="3"/>
  </cols>
  <sheetData>
    <row r="1" spans="1:5" s="178" customFormat="1" ht="20.45" customHeight="1">
      <c r="A1" s="447" t="s">
        <v>119</v>
      </c>
      <c r="B1" s="447"/>
      <c r="C1" s="447"/>
      <c r="D1" s="447"/>
      <c r="E1" s="447"/>
    </row>
    <row r="2" spans="1:5" ht="47.45" customHeight="1">
      <c r="A2" s="448" t="s">
        <v>217</v>
      </c>
      <c r="B2" s="448"/>
      <c r="C2" s="448"/>
      <c r="D2" s="448"/>
      <c r="E2" s="448"/>
    </row>
    <row r="3" spans="1:5" ht="30">
      <c r="C3" s="46" t="s">
        <v>197</v>
      </c>
      <c r="D3" s="46" t="s">
        <v>197</v>
      </c>
    </row>
    <row r="5" spans="1:5" ht="120">
      <c r="A5" s="47" t="s">
        <v>35</v>
      </c>
      <c r="B5" s="47" t="s">
        <v>2</v>
      </c>
      <c r="C5" s="47" t="s">
        <v>218</v>
      </c>
      <c r="D5" s="47" t="s">
        <v>219</v>
      </c>
      <c r="E5" s="47" t="s">
        <v>139</v>
      </c>
    </row>
    <row r="6" spans="1:5">
      <c r="A6" s="219">
        <v>600</v>
      </c>
      <c r="B6" s="219" t="s">
        <v>51</v>
      </c>
      <c r="C6" s="372">
        <v>5</v>
      </c>
      <c r="D6" s="268"/>
      <c r="E6" s="372">
        <v>5</v>
      </c>
    </row>
    <row r="7" spans="1:5">
      <c r="A7" s="219">
        <v>601</v>
      </c>
      <c r="B7" s="219" t="s">
        <v>13</v>
      </c>
      <c r="C7" s="373">
        <v>5</v>
      </c>
      <c r="D7" s="373"/>
      <c r="E7" s="373">
        <v>5</v>
      </c>
    </row>
    <row r="8" spans="1:5" ht="30">
      <c r="A8" s="193">
        <v>602</v>
      </c>
      <c r="B8" s="193" t="s">
        <v>53</v>
      </c>
      <c r="C8" s="373">
        <v>5</v>
      </c>
      <c r="D8" s="373"/>
      <c r="E8" s="373">
        <v>5</v>
      </c>
    </row>
    <row r="9" spans="1:5" ht="30">
      <c r="A9" s="193">
        <v>604</v>
      </c>
      <c r="B9" s="193" t="s">
        <v>49</v>
      </c>
      <c r="C9" s="373">
        <v>5</v>
      </c>
      <c r="D9" s="373"/>
      <c r="E9" s="373">
        <v>5</v>
      </c>
    </row>
    <row r="10" spans="1:5" ht="45">
      <c r="A10" s="193">
        <v>605</v>
      </c>
      <c r="B10" s="193" t="s">
        <v>45</v>
      </c>
      <c r="C10" s="373">
        <v>5</v>
      </c>
      <c r="D10" s="373"/>
      <c r="E10" s="373">
        <v>5</v>
      </c>
    </row>
    <row r="11" spans="1:5" ht="30">
      <c r="A11" s="193">
        <v>606</v>
      </c>
      <c r="B11" s="193" t="s">
        <v>46</v>
      </c>
      <c r="C11" s="373">
        <v>5</v>
      </c>
      <c r="D11" s="373"/>
      <c r="E11" s="373">
        <v>5</v>
      </c>
    </row>
    <row r="12" spans="1:5" ht="30">
      <c r="A12" s="193">
        <v>607</v>
      </c>
      <c r="B12" s="193" t="s">
        <v>50</v>
      </c>
      <c r="C12" s="373">
        <v>5</v>
      </c>
      <c r="D12" s="373"/>
      <c r="E12" s="373">
        <v>5</v>
      </c>
    </row>
    <row r="13" spans="1:5" ht="45">
      <c r="A13" s="193">
        <v>609</v>
      </c>
      <c r="B13" s="193" t="s">
        <v>37</v>
      </c>
      <c r="C13" s="373">
        <v>5</v>
      </c>
      <c r="D13" s="373"/>
      <c r="E13" s="373">
        <v>5</v>
      </c>
    </row>
    <row r="14" spans="1:5" ht="30">
      <c r="A14" s="193">
        <v>611</v>
      </c>
      <c r="B14" s="193" t="s">
        <v>47</v>
      </c>
      <c r="C14" s="373">
        <v>5</v>
      </c>
      <c r="D14" s="373"/>
      <c r="E14" s="373">
        <v>5</v>
      </c>
    </row>
    <row r="15" spans="1:5" ht="30">
      <c r="A15" s="193">
        <v>617</v>
      </c>
      <c r="B15" s="193" t="s">
        <v>42</v>
      </c>
      <c r="C15" s="374">
        <v>5</v>
      </c>
      <c r="D15" s="373"/>
      <c r="E15" s="373">
        <v>5</v>
      </c>
    </row>
    <row r="16" spans="1:5" ht="30">
      <c r="A16" s="193">
        <v>618</v>
      </c>
      <c r="B16" s="193" t="s">
        <v>38</v>
      </c>
      <c r="C16" s="373">
        <v>5</v>
      </c>
      <c r="D16" s="373"/>
      <c r="E16" s="373">
        <v>5</v>
      </c>
    </row>
    <row r="17" spans="1:5" ht="30">
      <c r="A17" s="193">
        <v>619</v>
      </c>
      <c r="B17" s="193" t="s">
        <v>44</v>
      </c>
      <c r="C17" s="373">
        <v>5</v>
      </c>
      <c r="D17" s="373"/>
      <c r="E17" s="373">
        <v>5</v>
      </c>
    </row>
    <row r="18" spans="1:5" ht="30">
      <c r="A18" s="193">
        <v>620</v>
      </c>
      <c r="B18" s="193" t="s">
        <v>48</v>
      </c>
      <c r="C18" s="373">
        <v>5</v>
      </c>
      <c r="D18" s="373"/>
      <c r="E18" s="373">
        <v>5</v>
      </c>
    </row>
    <row r="19" spans="1:5" ht="30">
      <c r="A19" s="193">
        <v>621</v>
      </c>
      <c r="B19" s="193" t="s">
        <v>54</v>
      </c>
      <c r="C19" s="373">
        <v>5</v>
      </c>
      <c r="D19" s="373"/>
      <c r="E19" s="373">
        <v>5</v>
      </c>
    </row>
    <row r="20" spans="1:5" ht="45">
      <c r="A20" s="193">
        <v>624</v>
      </c>
      <c r="B20" s="193" t="s">
        <v>40</v>
      </c>
      <c r="C20" s="373">
        <v>5</v>
      </c>
      <c r="D20" s="373"/>
      <c r="E20" s="373">
        <v>5</v>
      </c>
    </row>
    <row r="21" spans="1:5">
      <c r="A21" s="375">
        <v>643</v>
      </c>
      <c r="B21" s="196" t="s">
        <v>52</v>
      </c>
      <c r="C21" s="373">
        <v>5</v>
      </c>
      <c r="D21" s="196"/>
      <c r="E21" s="373">
        <v>5</v>
      </c>
    </row>
    <row r="27" spans="1:5">
      <c r="B27" s="3" t="str">
        <f>CONCATENATE(B9,B10,B13,B15,B16,B17,B19,B20,B21)</f>
        <v>Комитет финансов и бюджета администрации города СтаврополяКомитет  экономического развития и торговли администрации города СтаврополяКомитет труда и социальной защиты населения администрации города СтаврополяАдминистрация Ленинского района города СтаврополяАдминистрация Октябрьского района города СтаврополяАдминистрация Промышленного района города СтаврополяКомитет градостроительства администрации города СтаврополяКомитет по делам гражданской обороны и чрезвычайным ситуациям администрации города СтаврополяКонтрольно-счетная палата города Ставрополя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E1"/>
    <mergeCell ref="A2:E2"/>
  </mergeCells>
  <pageMargins left="0.51181102362204722" right="0.19685039370078738" top="0.74803149606299213" bottom="0.74803149606299213" header="0.31496062992125984" footer="0.31496062992125984"/>
  <pageSetup paperSize="9" scale="84" orientation="portrait"/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>
    <tabColor rgb="FF00B050"/>
  </sheetPr>
  <dimension ref="A1:E21"/>
  <sheetViews>
    <sheetView topLeftCell="A4" zoomScale="84" workbookViewId="0">
      <selection activeCell="S23" activeCellId="1" sqref="A6:E21 S23"/>
    </sheetView>
  </sheetViews>
  <sheetFormatPr defaultColWidth="9.140625" defaultRowHeight="15"/>
  <cols>
    <col min="1" max="1" width="8.42578125" style="46" customWidth="1"/>
    <col min="2" max="2" width="41.140625" style="3" customWidth="1"/>
    <col min="3" max="3" width="24.85546875" style="3" customWidth="1"/>
    <col min="4" max="4" width="26.140625" style="3" customWidth="1"/>
    <col min="5" max="5" width="13.140625" style="3" customWidth="1"/>
    <col min="6" max="16384" width="9.140625" style="3"/>
  </cols>
  <sheetData>
    <row r="1" spans="1:5" s="178" customFormat="1" ht="20.45" customHeight="1">
      <c r="A1" s="447" t="s">
        <v>119</v>
      </c>
      <c r="B1" s="447"/>
      <c r="C1" s="447"/>
      <c r="D1" s="447"/>
      <c r="E1" s="447"/>
    </row>
    <row r="2" spans="1:5" ht="75.75" customHeight="1">
      <c r="A2" s="448" t="s">
        <v>220</v>
      </c>
      <c r="B2" s="448"/>
      <c r="C2" s="448"/>
      <c r="D2" s="448"/>
      <c r="E2" s="448"/>
    </row>
    <row r="3" spans="1:5" ht="30">
      <c r="C3" s="46" t="s">
        <v>197</v>
      </c>
      <c r="D3" s="46" t="s">
        <v>197</v>
      </c>
    </row>
    <row r="5" spans="1:5" ht="165">
      <c r="A5" s="47" t="s">
        <v>35</v>
      </c>
      <c r="B5" s="47" t="s">
        <v>2</v>
      </c>
      <c r="C5" s="232" t="s">
        <v>221</v>
      </c>
      <c r="D5" s="47" t="s">
        <v>222</v>
      </c>
      <c r="E5" s="47" t="s">
        <v>139</v>
      </c>
    </row>
    <row r="6" spans="1:5">
      <c r="A6" s="219">
        <v>600</v>
      </c>
      <c r="B6" s="239" t="s">
        <v>51</v>
      </c>
      <c r="C6" s="376">
        <v>5</v>
      </c>
      <c r="D6" s="377"/>
      <c r="E6" s="378">
        <v>5</v>
      </c>
    </row>
    <row r="7" spans="1:5">
      <c r="A7" s="219">
        <v>601</v>
      </c>
      <c r="B7" s="239" t="s">
        <v>13</v>
      </c>
      <c r="C7" s="378">
        <v>5</v>
      </c>
      <c r="D7" s="379"/>
      <c r="E7" s="378">
        <v>5</v>
      </c>
    </row>
    <row r="8" spans="1:5" ht="30">
      <c r="A8" s="193">
        <v>602</v>
      </c>
      <c r="B8" s="242" t="s">
        <v>53</v>
      </c>
      <c r="C8" s="378">
        <v>5</v>
      </c>
      <c r="D8" s="379"/>
      <c r="E8" s="378">
        <v>5</v>
      </c>
    </row>
    <row r="9" spans="1:5" ht="30">
      <c r="A9" s="193">
        <v>604</v>
      </c>
      <c r="B9" s="242" t="s">
        <v>49</v>
      </c>
      <c r="C9" s="378">
        <v>5</v>
      </c>
      <c r="D9" s="379"/>
      <c r="E9" s="378">
        <v>5</v>
      </c>
    </row>
    <row r="10" spans="1:5" ht="45">
      <c r="A10" s="193">
        <v>605</v>
      </c>
      <c r="B10" s="242" t="s">
        <v>45</v>
      </c>
      <c r="C10" s="378">
        <v>5</v>
      </c>
      <c r="D10" s="379"/>
      <c r="E10" s="378">
        <v>5</v>
      </c>
    </row>
    <row r="11" spans="1:5" ht="30">
      <c r="A11" s="193">
        <v>606</v>
      </c>
      <c r="B11" s="242" t="s">
        <v>46</v>
      </c>
      <c r="C11" s="378">
        <v>5</v>
      </c>
      <c r="D11" s="379"/>
      <c r="E11" s="378">
        <v>5</v>
      </c>
    </row>
    <row r="12" spans="1:5" ht="30">
      <c r="A12" s="193">
        <v>607</v>
      </c>
      <c r="B12" s="242" t="s">
        <v>50</v>
      </c>
      <c r="C12" s="378">
        <v>5</v>
      </c>
      <c r="D12" s="379"/>
      <c r="E12" s="378">
        <v>5</v>
      </c>
    </row>
    <row r="13" spans="1:5" ht="45">
      <c r="A13" s="193">
        <v>609</v>
      </c>
      <c r="B13" s="242" t="s">
        <v>37</v>
      </c>
      <c r="C13" s="378">
        <v>5</v>
      </c>
      <c r="D13" s="379"/>
      <c r="E13" s="378">
        <v>5</v>
      </c>
    </row>
    <row r="14" spans="1:5" ht="30">
      <c r="A14" s="193">
        <v>611</v>
      </c>
      <c r="B14" s="242" t="s">
        <v>47</v>
      </c>
      <c r="C14" s="378">
        <v>5</v>
      </c>
      <c r="D14" s="379"/>
      <c r="E14" s="378">
        <v>5</v>
      </c>
    </row>
    <row r="15" spans="1:5" ht="30">
      <c r="A15" s="193">
        <v>617</v>
      </c>
      <c r="B15" s="242" t="s">
        <v>42</v>
      </c>
      <c r="C15" s="378">
        <v>5</v>
      </c>
      <c r="D15" s="379"/>
      <c r="E15" s="378">
        <v>5</v>
      </c>
    </row>
    <row r="16" spans="1:5" ht="30">
      <c r="A16" s="193">
        <v>618</v>
      </c>
      <c r="B16" s="242" t="s">
        <v>38</v>
      </c>
      <c r="C16" s="378">
        <v>5</v>
      </c>
      <c r="D16" s="379"/>
      <c r="E16" s="378">
        <v>5</v>
      </c>
    </row>
    <row r="17" spans="1:5" ht="30">
      <c r="A17" s="193">
        <v>619</v>
      </c>
      <c r="B17" s="242" t="s">
        <v>44</v>
      </c>
      <c r="C17" s="378">
        <v>5</v>
      </c>
      <c r="D17" s="379"/>
      <c r="E17" s="378">
        <v>5</v>
      </c>
    </row>
    <row r="18" spans="1:5" ht="30">
      <c r="A18" s="193">
        <v>620</v>
      </c>
      <c r="B18" s="242" t="s">
        <v>48</v>
      </c>
      <c r="C18" s="378">
        <v>5</v>
      </c>
      <c r="D18" s="379"/>
      <c r="E18" s="378">
        <v>5</v>
      </c>
    </row>
    <row r="19" spans="1:5" ht="30">
      <c r="A19" s="193">
        <v>621</v>
      </c>
      <c r="B19" s="242" t="s">
        <v>54</v>
      </c>
      <c r="C19" s="378">
        <v>5</v>
      </c>
      <c r="D19" s="379"/>
      <c r="E19" s="378">
        <v>5</v>
      </c>
    </row>
    <row r="20" spans="1:5" ht="45">
      <c r="A20" s="193">
        <v>624</v>
      </c>
      <c r="B20" s="242" t="s">
        <v>40</v>
      </c>
      <c r="C20" s="378">
        <v>5</v>
      </c>
      <c r="D20" s="379"/>
      <c r="E20" s="378">
        <v>5</v>
      </c>
    </row>
    <row r="21" spans="1:5">
      <c r="A21" s="380">
        <v>643</v>
      </c>
      <c r="B21" s="381" t="s">
        <v>52</v>
      </c>
      <c r="C21" s="382">
        <v>5</v>
      </c>
      <c r="D21" s="383"/>
      <c r="E21" s="378">
        <v>5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E1"/>
    <mergeCell ref="A2:E2"/>
  </mergeCells>
  <pageMargins left="0.51181102362204722" right="0.19685039370078738" top="0.74803149606299213" bottom="0.74803149606299213" header="0.31496062992125984" footer="0.31496062992125984"/>
  <pageSetup paperSize="9" scale="84" orientation="portrait"/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>
    <tabColor rgb="FF00B050"/>
  </sheetPr>
  <dimension ref="A1:K26"/>
  <sheetViews>
    <sheetView zoomScale="130" workbookViewId="0">
      <selection activeCell="S23" activeCellId="1" sqref="A6:E21 S23"/>
    </sheetView>
  </sheetViews>
  <sheetFormatPr defaultColWidth="9.140625" defaultRowHeight="15"/>
  <cols>
    <col min="1" max="1" width="8.42578125" style="46" customWidth="1"/>
    <col min="2" max="2" width="41.140625" style="3" customWidth="1"/>
    <col min="3" max="3" width="24.85546875" style="3" customWidth="1"/>
    <col min="4" max="4" width="22" style="3" customWidth="1"/>
    <col min="5" max="5" width="13.140625" style="3" customWidth="1"/>
    <col min="6" max="6" width="14.140625" style="3" bestFit="1" customWidth="1"/>
    <col min="7" max="10" width="9.140625" style="3"/>
    <col min="11" max="11" width="11.85546875" style="3" bestFit="1" customWidth="1"/>
    <col min="12" max="16384" width="9.140625" style="3"/>
  </cols>
  <sheetData>
    <row r="1" spans="1:11" s="178" customFormat="1" ht="20.25">
      <c r="A1" s="447" t="s">
        <v>119</v>
      </c>
      <c r="B1" s="447"/>
      <c r="C1" s="447"/>
      <c r="D1" s="447"/>
      <c r="E1" s="447"/>
    </row>
    <row r="2" spans="1:11" ht="19.5">
      <c r="A2" s="448" t="s">
        <v>223</v>
      </c>
      <c r="B2" s="448"/>
      <c r="C2" s="448"/>
      <c r="D2" s="448"/>
      <c r="E2" s="448"/>
    </row>
    <row r="5" spans="1:11" ht="105">
      <c r="A5" s="47" t="s">
        <v>35</v>
      </c>
      <c r="B5" s="47" t="s">
        <v>2</v>
      </c>
      <c r="C5" s="232" t="s">
        <v>224</v>
      </c>
      <c r="D5" s="232" t="s">
        <v>225</v>
      </c>
      <c r="E5" s="47" t="s">
        <v>139</v>
      </c>
    </row>
    <row r="6" spans="1:11">
      <c r="A6" s="193">
        <v>600</v>
      </c>
      <c r="B6" s="242" t="s">
        <v>51</v>
      </c>
      <c r="C6" s="331">
        <v>0</v>
      </c>
      <c r="D6" s="331">
        <v>0</v>
      </c>
      <c r="E6" s="384">
        <v>5</v>
      </c>
    </row>
    <row r="7" spans="1:11">
      <c r="A7" s="193">
        <v>601</v>
      </c>
      <c r="B7" s="242" t="s">
        <v>13</v>
      </c>
      <c r="C7" s="288">
        <v>1</v>
      </c>
      <c r="D7" s="339">
        <v>20</v>
      </c>
      <c r="E7" s="385">
        <v>4</v>
      </c>
      <c r="F7" s="208"/>
    </row>
    <row r="8" spans="1:11" ht="30">
      <c r="A8" s="193">
        <v>602</v>
      </c>
      <c r="B8" s="242" t="s">
        <v>53</v>
      </c>
      <c r="C8" s="288">
        <v>4</v>
      </c>
      <c r="D8" s="339">
        <v>80</v>
      </c>
      <c r="E8" s="385">
        <v>1</v>
      </c>
      <c r="F8" s="208"/>
    </row>
    <row r="9" spans="1:11" ht="30">
      <c r="A9" s="193">
        <v>604</v>
      </c>
      <c r="B9" s="242" t="s">
        <v>49</v>
      </c>
      <c r="C9" s="288">
        <v>0</v>
      </c>
      <c r="D9" s="339">
        <v>0</v>
      </c>
      <c r="E9" s="385">
        <v>5</v>
      </c>
      <c r="F9" s="208"/>
    </row>
    <row r="10" spans="1:11" ht="45" customHeight="1">
      <c r="A10" s="193">
        <v>605</v>
      </c>
      <c r="B10" s="242" t="s">
        <v>45</v>
      </c>
      <c r="C10" s="288">
        <v>2</v>
      </c>
      <c r="D10" s="339">
        <v>40</v>
      </c>
      <c r="E10" s="385">
        <v>2</v>
      </c>
      <c r="F10" s="208"/>
      <c r="K10" s="189"/>
    </row>
    <row r="11" spans="1:11" ht="30">
      <c r="A11" s="193">
        <v>606</v>
      </c>
      <c r="B11" s="242" t="s">
        <v>46</v>
      </c>
      <c r="C11" s="288">
        <v>1</v>
      </c>
      <c r="D11" s="339">
        <v>20</v>
      </c>
      <c r="E11" s="385">
        <v>3</v>
      </c>
      <c r="F11" s="208"/>
    </row>
    <row r="12" spans="1:11" ht="30">
      <c r="A12" s="193">
        <v>607</v>
      </c>
      <c r="B12" s="242" t="s">
        <v>50</v>
      </c>
      <c r="C12" s="288">
        <v>2</v>
      </c>
      <c r="D12" s="339">
        <v>40</v>
      </c>
      <c r="E12" s="385">
        <v>2</v>
      </c>
      <c r="F12" s="208"/>
    </row>
    <row r="13" spans="1:11" ht="45">
      <c r="A13" s="193">
        <v>609</v>
      </c>
      <c r="B13" s="242" t="s">
        <v>37</v>
      </c>
      <c r="C13" s="288">
        <v>1</v>
      </c>
      <c r="D13" s="339">
        <v>20</v>
      </c>
      <c r="E13" s="385">
        <v>4</v>
      </c>
      <c r="F13" s="208"/>
    </row>
    <row r="14" spans="1:11" ht="30">
      <c r="A14" s="193">
        <v>611</v>
      </c>
      <c r="B14" s="242" t="s">
        <v>47</v>
      </c>
      <c r="C14" s="288">
        <v>1</v>
      </c>
      <c r="D14" s="339">
        <v>20</v>
      </c>
      <c r="E14" s="385">
        <v>3</v>
      </c>
      <c r="F14" s="208"/>
    </row>
    <row r="15" spans="1:11" ht="30">
      <c r="A15" s="193">
        <v>617</v>
      </c>
      <c r="B15" s="242" t="s">
        <v>42</v>
      </c>
      <c r="C15" s="288">
        <v>1</v>
      </c>
      <c r="D15" s="339">
        <v>20</v>
      </c>
      <c r="E15" s="385">
        <v>3</v>
      </c>
      <c r="F15" s="208"/>
    </row>
    <row r="16" spans="1:11" ht="30">
      <c r="A16" s="193">
        <v>618</v>
      </c>
      <c r="B16" s="242" t="s">
        <v>38</v>
      </c>
      <c r="C16" s="288">
        <v>1</v>
      </c>
      <c r="D16" s="339">
        <v>20</v>
      </c>
      <c r="E16" s="385">
        <v>4</v>
      </c>
      <c r="F16" s="208"/>
    </row>
    <row r="17" spans="1:6" ht="30">
      <c r="A17" s="193">
        <v>619</v>
      </c>
      <c r="B17" s="242" t="s">
        <v>44</v>
      </c>
      <c r="C17" s="288">
        <v>3</v>
      </c>
      <c r="D17" s="339">
        <v>60</v>
      </c>
      <c r="E17" s="385">
        <v>3</v>
      </c>
      <c r="F17" s="208"/>
    </row>
    <row r="18" spans="1:6" ht="30">
      <c r="A18" s="193">
        <v>620</v>
      </c>
      <c r="B18" s="242" t="s">
        <v>48</v>
      </c>
      <c r="C18" s="288">
        <v>4</v>
      </c>
      <c r="D18" s="339">
        <v>80</v>
      </c>
      <c r="E18" s="385">
        <v>2</v>
      </c>
      <c r="F18" s="208"/>
    </row>
    <row r="19" spans="1:6" ht="30">
      <c r="A19" s="193">
        <v>621</v>
      </c>
      <c r="B19" s="242" t="s">
        <v>54</v>
      </c>
      <c r="C19" s="288">
        <v>4</v>
      </c>
      <c r="D19" s="339">
        <v>80</v>
      </c>
      <c r="E19" s="385">
        <v>1</v>
      </c>
      <c r="F19" s="208"/>
    </row>
    <row r="20" spans="1:6" ht="45">
      <c r="A20" s="193">
        <v>624</v>
      </c>
      <c r="B20" s="242" t="s">
        <v>40</v>
      </c>
      <c r="C20" s="288">
        <v>1</v>
      </c>
      <c r="D20" s="339">
        <v>20</v>
      </c>
      <c r="E20" s="385">
        <v>3</v>
      </c>
      <c r="F20" s="208"/>
    </row>
    <row r="21" spans="1:6">
      <c r="A21" s="380">
        <v>643</v>
      </c>
      <c r="B21" s="381" t="s">
        <v>52</v>
      </c>
      <c r="C21" s="201">
        <v>0</v>
      </c>
      <c r="D21" s="201">
        <v>0</v>
      </c>
      <c r="E21" s="383">
        <v>5</v>
      </c>
    </row>
    <row r="22" spans="1:6">
      <c r="A22" s="263"/>
      <c r="B22" s="263"/>
      <c r="C22" s="386"/>
      <c r="D22" s="352"/>
      <c r="E22" s="387"/>
      <c r="F22" s="208"/>
    </row>
    <row r="23" spans="1:6">
      <c r="A23" s="263"/>
      <c r="B23" s="263" t="s">
        <v>23</v>
      </c>
      <c r="C23" s="386"/>
      <c r="D23" s="265">
        <f>SUBTOTAL(9,D7:D21)</f>
        <v>520</v>
      </c>
      <c r="E23" s="387"/>
      <c r="F23" s="208"/>
    </row>
    <row r="24" spans="1:6">
      <c r="A24" s="263"/>
      <c r="B24" s="266" t="s">
        <v>24</v>
      </c>
      <c r="C24" s="386"/>
      <c r="D24" s="267">
        <f>ROUND(D23/16,2)</f>
        <v>32.5</v>
      </c>
      <c r="E24" s="387"/>
      <c r="F24" s="208"/>
    </row>
    <row r="25" spans="1:6">
      <c r="A25" s="51"/>
      <c r="B25" s="51"/>
      <c r="C25" s="361"/>
      <c r="D25" s="348"/>
      <c r="E25" s="348"/>
      <c r="F25" s="208"/>
    </row>
    <row r="26" spans="1:6">
      <c r="C26" s="354">
        <f>SUM(C7:C20)</f>
        <v>26</v>
      </c>
      <c r="D26" s="137"/>
      <c r="E26" s="137"/>
      <c r="F26" s="137"/>
    </row>
  </sheetData>
  <sheetProtection formatCells="0" formatColumns="0" formatRows="0" insertColumns="0" insertRows="0" insertHyperlinks="0" deleteColumns="0" deleteRows="0" sort="0" autoFilter="0" pivotTables="0"/>
  <mergeCells count="2">
    <mergeCell ref="A1:E1"/>
    <mergeCell ref="A2:E2"/>
  </mergeCells>
  <pageMargins left="0.35433070866141736" right="0.19685039370078738" top="0.74803149606299213" bottom="0.74803149606299213" header="0.31496062992125984" footer="0.31496062992125984"/>
  <pageSetup paperSize="9" scale="73" orientation="portrait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>
    <tabColor rgb="FF00B050"/>
  </sheetPr>
  <dimension ref="A1:K26"/>
  <sheetViews>
    <sheetView topLeftCell="A19" zoomScale="110" workbookViewId="0">
      <selection activeCell="S23" activeCellId="1" sqref="A6:E21 S23"/>
    </sheetView>
  </sheetViews>
  <sheetFormatPr defaultColWidth="9.140625" defaultRowHeight="15"/>
  <cols>
    <col min="1" max="1" width="8.42578125" style="46" customWidth="1"/>
    <col min="2" max="2" width="41.140625" style="3" customWidth="1"/>
    <col min="3" max="3" width="24.85546875" style="3" customWidth="1"/>
    <col min="4" max="4" width="22" style="3" customWidth="1"/>
    <col min="5" max="5" width="13.140625" style="3" customWidth="1"/>
    <col min="6" max="6" width="14.140625" style="3" bestFit="1" customWidth="1"/>
    <col min="7" max="10" width="9.140625" style="3"/>
    <col min="11" max="11" width="11.85546875" style="3" bestFit="1" customWidth="1"/>
    <col min="12" max="16384" width="9.140625" style="3"/>
  </cols>
  <sheetData>
    <row r="1" spans="1:11" s="178" customFormat="1" ht="20.25">
      <c r="A1" s="447" t="s">
        <v>119</v>
      </c>
      <c r="B1" s="447"/>
      <c r="C1" s="447"/>
      <c r="D1" s="447"/>
      <c r="E1" s="447"/>
    </row>
    <row r="2" spans="1:11" ht="52.5" customHeight="1">
      <c r="A2" s="448" t="s">
        <v>226</v>
      </c>
      <c r="B2" s="448"/>
      <c r="C2" s="448"/>
      <c r="D2" s="448"/>
      <c r="E2" s="448"/>
    </row>
    <row r="5" spans="1:11" ht="165">
      <c r="A5" s="47" t="s">
        <v>35</v>
      </c>
      <c r="B5" s="47" t="s">
        <v>2</v>
      </c>
      <c r="C5" s="232" t="s">
        <v>227</v>
      </c>
      <c r="D5" s="232" t="s">
        <v>225</v>
      </c>
      <c r="E5" s="232" t="s">
        <v>139</v>
      </c>
    </row>
    <row r="6" spans="1:11">
      <c r="A6" s="219">
        <v>600</v>
      </c>
      <c r="B6" s="239" t="s">
        <v>51</v>
      </c>
      <c r="C6" s="288"/>
      <c r="D6" s="339"/>
      <c r="E6" s="339"/>
    </row>
    <row r="7" spans="1:11">
      <c r="A7" s="219">
        <v>601</v>
      </c>
      <c r="B7" s="239" t="s">
        <v>13</v>
      </c>
      <c r="C7" s="288"/>
      <c r="D7" s="339"/>
      <c r="E7" s="339"/>
      <c r="F7" s="208"/>
    </row>
    <row r="8" spans="1:11" ht="30">
      <c r="A8" s="193">
        <v>602</v>
      </c>
      <c r="B8" s="242" t="s">
        <v>53</v>
      </c>
      <c r="C8" s="288"/>
      <c r="D8" s="339"/>
      <c r="E8" s="339"/>
      <c r="F8" s="208"/>
    </row>
    <row r="9" spans="1:11" ht="30">
      <c r="A9" s="193">
        <v>604</v>
      </c>
      <c r="B9" s="242" t="s">
        <v>49</v>
      </c>
      <c r="C9" s="288"/>
      <c r="D9" s="339"/>
      <c r="E9" s="339"/>
      <c r="F9" s="208"/>
    </row>
    <row r="10" spans="1:11" ht="45">
      <c r="A10" s="193">
        <v>605</v>
      </c>
      <c r="B10" s="242" t="s">
        <v>45</v>
      </c>
      <c r="C10" s="288"/>
      <c r="D10" s="339"/>
      <c r="E10" s="339"/>
      <c r="F10" s="208"/>
      <c r="K10" s="189"/>
    </row>
    <row r="11" spans="1:11" ht="30">
      <c r="A11" s="193">
        <v>606</v>
      </c>
      <c r="B11" s="242" t="s">
        <v>46</v>
      </c>
      <c r="C11" s="288">
        <v>1</v>
      </c>
      <c r="D11" s="339">
        <v>20</v>
      </c>
      <c r="E11" s="339">
        <v>4</v>
      </c>
      <c r="F11" s="208"/>
      <c r="G11" s="388">
        <v>1</v>
      </c>
      <c r="H11" s="343">
        <f t="shared" ref="H11:H18" si="0">ROUND((G11/5)*100,2)</f>
        <v>20</v>
      </c>
    </row>
    <row r="12" spans="1:11" ht="30">
      <c r="A12" s="193">
        <v>607</v>
      </c>
      <c r="B12" s="242" t="s">
        <v>50</v>
      </c>
      <c r="C12" s="288">
        <v>6</v>
      </c>
      <c r="D12" s="339">
        <v>120</v>
      </c>
      <c r="E12" s="339">
        <v>0</v>
      </c>
      <c r="F12" s="208"/>
      <c r="G12" s="388">
        <v>6</v>
      </c>
      <c r="H12" s="343">
        <f t="shared" si="0"/>
        <v>120</v>
      </c>
    </row>
    <row r="13" spans="1:11" ht="45">
      <c r="A13" s="193">
        <v>609</v>
      </c>
      <c r="B13" s="242" t="s">
        <v>37</v>
      </c>
      <c r="C13" s="288"/>
      <c r="D13" s="339"/>
      <c r="E13" s="339"/>
      <c r="F13" s="208"/>
      <c r="G13" s="389"/>
      <c r="H13" s="390"/>
    </row>
    <row r="14" spans="1:11" ht="30">
      <c r="A14" s="193">
        <v>611</v>
      </c>
      <c r="B14" s="242" t="s">
        <v>47</v>
      </c>
      <c r="C14" s="288">
        <v>2</v>
      </c>
      <c r="D14" s="339">
        <v>40</v>
      </c>
      <c r="E14" s="339">
        <v>3</v>
      </c>
      <c r="F14" s="208"/>
      <c r="G14" s="388">
        <v>2</v>
      </c>
      <c r="H14" s="343">
        <f t="shared" si="0"/>
        <v>40</v>
      </c>
    </row>
    <row r="15" spans="1:11" ht="30">
      <c r="A15" s="193">
        <v>617</v>
      </c>
      <c r="B15" s="242" t="s">
        <v>42</v>
      </c>
      <c r="C15" s="288"/>
      <c r="D15" s="339"/>
      <c r="E15" s="339"/>
      <c r="F15" s="208"/>
      <c r="G15" s="389"/>
      <c r="H15" s="390"/>
    </row>
    <row r="16" spans="1:11" ht="30">
      <c r="A16" s="193">
        <v>618</v>
      </c>
      <c r="B16" s="242" t="s">
        <v>38</v>
      </c>
      <c r="C16" s="288"/>
      <c r="D16" s="339"/>
      <c r="E16" s="339"/>
      <c r="F16" s="208"/>
      <c r="G16" s="389"/>
      <c r="H16" s="390"/>
    </row>
    <row r="17" spans="1:8" ht="30">
      <c r="A17" s="193">
        <v>619</v>
      </c>
      <c r="B17" s="242" t="s">
        <v>44</v>
      </c>
      <c r="C17" s="288"/>
      <c r="D17" s="339"/>
      <c r="E17" s="339"/>
      <c r="F17" s="208"/>
      <c r="G17" s="389"/>
      <c r="H17" s="390"/>
    </row>
    <row r="18" spans="1:8" ht="30">
      <c r="A18" s="193">
        <v>620</v>
      </c>
      <c r="B18" s="242" t="s">
        <v>48</v>
      </c>
      <c r="C18" s="288">
        <v>5</v>
      </c>
      <c r="D18" s="339">
        <v>100</v>
      </c>
      <c r="E18" s="339">
        <v>0</v>
      </c>
      <c r="F18" s="208"/>
      <c r="G18" s="388">
        <v>5</v>
      </c>
      <c r="H18" s="343">
        <f t="shared" si="0"/>
        <v>100</v>
      </c>
    </row>
    <row r="19" spans="1:8" ht="30">
      <c r="A19" s="193">
        <v>621</v>
      </c>
      <c r="B19" s="242" t="s">
        <v>54</v>
      </c>
      <c r="C19" s="288"/>
      <c r="D19" s="339"/>
      <c r="E19" s="339"/>
      <c r="F19" s="208"/>
    </row>
    <row r="20" spans="1:8" ht="45">
      <c r="A20" s="193">
        <v>624</v>
      </c>
      <c r="B20" s="242" t="s">
        <v>40</v>
      </c>
      <c r="C20" s="288"/>
      <c r="D20" s="339"/>
      <c r="E20" s="339"/>
      <c r="F20" s="208"/>
    </row>
    <row r="21" spans="1:8" ht="30">
      <c r="A21" s="193">
        <v>643</v>
      </c>
      <c r="B21" s="242" t="s">
        <v>52</v>
      </c>
      <c r="C21" s="288"/>
      <c r="D21" s="339"/>
      <c r="E21" s="339"/>
    </row>
    <row r="22" spans="1:8">
      <c r="A22" s="263"/>
      <c r="B22" s="263"/>
      <c r="C22" s="391"/>
      <c r="D22" s="392"/>
      <c r="E22" s="392"/>
      <c r="F22" s="208"/>
    </row>
    <row r="23" spans="1:8">
      <c r="A23" s="263"/>
      <c r="B23" s="263" t="s">
        <v>23</v>
      </c>
      <c r="C23" s="391"/>
      <c r="D23" s="362">
        <f>SUBTOTAL(9,D7:D20)</f>
        <v>280</v>
      </c>
      <c r="E23" s="392"/>
      <c r="F23" s="208"/>
    </row>
    <row r="24" spans="1:8">
      <c r="A24" s="263"/>
      <c r="B24" s="266" t="s">
        <v>24</v>
      </c>
      <c r="C24" s="391"/>
      <c r="D24" s="363">
        <f>ROUND(D23/16,2)</f>
        <v>17.5</v>
      </c>
      <c r="E24" s="392"/>
      <c r="F24" s="208"/>
    </row>
    <row r="25" spans="1:8">
      <c r="A25" s="51"/>
      <c r="B25" s="51"/>
      <c r="C25" s="361"/>
      <c r="D25" s="348"/>
      <c r="E25" s="348"/>
      <c r="F25" s="208"/>
    </row>
    <row r="26" spans="1:8">
      <c r="C26" s="354">
        <f>SUM(C7:C20)</f>
        <v>14</v>
      </c>
      <c r="D26" s="137"/>
      <c r="E26" s="137"/>
      <c r="F26" s="137"/>
    </row>
  </sheetData>
  <sheetProtection formatCells="0" formatColumns="0" formatRows="0" insertColumns="0" insertRows="0" insertHyperlinks="0" deleteColumns="0" deleteRows="0" sort="0" autoFilter="0" pivotTables="0"/>
  <mergeCells count="2">
    <mergeCell ref="A1:E1"/>
    <mergeCell ref="A2:E2"/>
  </mergeCells>
  <pageMargins left="0.35433070866141736" right="0.19685039370078738" top="0.74803149606299213" bottom="0.74803149606299213" header="0.31496062992125984" footer="0.31496062992125984"/>
  <pageSetup paperSize="9" scale="73"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9">
    <tabColor rgb="FF00B050"/>
  </sheetPr>
  <dimension ref="A1:J21"/>
  <sheetViews>
    <sheetView workbookViewId="0">
      <selection activeCell="S23" activeCellId="1" sqref="A6:E21 S23"/>
    </sheetView>
  </sheetViews>
  <sheetFormatPr defaultColWidth="9.140625" defaultRowHeight="15"/>
  <cols>
    <col min="1" max="1" width="8.42578125" style="46" customWidth="1"/>
    <col min="2" max="2" width="41.140625" style="3" customWidth="1"/>
    <col min="3" max="3" width="24.85546875" style="4" customWidth="1"/>
    <col min="4" max="4" width="26.140625" style="4" customWidth="1"/>
    <col min="5" max="5" width="22" style="4" customWidth="1"/>
    <col min="6" max="6" width="13.140625" style="3" customWidth="1"/>
    <col min="7" max="7" width="28.85546875" style="3" customWidth="1"/>
    <col min="8" max="16384" width="9.140625" style="3"/>
  </cols>
  <sheetData>
    <row r="1" spans="1:10" s="178" customFormat="1" ht="47.25" customHeight="1">
      <c r="A1" s="447" t="s">
        <v>228</v>
      </c>
      <c r="B1" s="447"/>
      <c r="C1" s="447"/>
      <c r="D1" s="447"/>
      <c r="E1" s="447"/>
      <c r="F1" s="447"/>
      <c r="G1" s="209" t="s">
        <v>229</v>
      </c>
    </row>
    <row r="2" spans="1:10" ht="46.5" customHeight="1">
      <c r="A2" s="448" t="s">
        <v>230</v>
      </c>
      <c r="B2" s="448"/>
      <c r="C2" s="448"/>
      <c r="D2" s="448"/>
      <c r="E2" s="448"/>
      <c r="F2" s="448"/>
    </row>
    <row r="4" spans="1:10" ht="105">
      <c r="A4" s="47" t="s">
        <v>35</v>
      </c>
      <c r="B4" s="47" t="s">
        <v>2</v>
      </c>
      <c r="C4" s="393" t="s">
        <v>231</v>
      </c>
      <c r="D4" s="393" t="s">
        <v>232</v>
      </c>
      <c r="E4" s="393" t="s">
        <v>233</v>
      </c>
      <c r="F4" s="232" t="s">
        <v>139</v>
      </c>
    </row>
    <row r="5" spans="1:10">
      <c r="A5" s="52">
        <v>601</v>
      </c>
      <c r="B5" s="394" t="s">
        <v>13</v>
      </c>
      <c r="C5" s="241">
        <v>0</v>
      </c>
      <c r="D5" s="395">
        <v>3900000</v>
      </c>
      <c r="E5" s="241">
        <v>0</v>
      </c>
      <c r="F5" s="241">
        <v>5</v>
      </c>
      <c r="I5" s="396">
        <v>0</v>
      </c>
      <c r="J5" s="396">
        <v>3900000</v>
      </c>
    </row>
    <row r="6" spans="1:10" ht="30">
      <c r="A6" s="15">
        <v>602</v>
      </c>
      <c r="B6" s="316" t="s">
        <v>53</v>
      </c>
      <c r="C6" s="397"/>
      <c r="D6" s="397"/>
      <c r="E6" s="397"/>
      <c r="F6" s="397"/>
      <c r="I6" s="398"/>
      <c r="J6" s="398"/>
    </row>
    <row r="7" spans="1:10" ht="30">
      <c r="A7" s="15">
        <v>604</v>
      </c>
      <c r="B7" s="316" t="s">
        <v>49</v>
      </c>
      <c r="C7" s="397"/>
      <c r="D7" s="397"/>
      <c r="E7" s="397"/>
      <c r="F7" s="397"/>
      <c r="I7" s="398"/>
      <c r="J7" s="398"/>
    </row>
    <row r="8" spans="1:10" ht="45">
      <c r="A8" s="15">
        <v>605</v>
      </c>
      <c r="B8" s="316" t="s">
        <v>45</v>
      </c>
      <c r="C8" s="397"/>
      <c r="D8" s="397"/>
      <c r="E8" s="397"/>
      <c r="F8" s="397"/>
      <c r="I8" s="398"/>
      <c r="J8" s="398"/>
    </row>
    <row r="9" spans="1:10" ht="30">
      <c r="A9" s="15">
        <v>606</v>
      </c>
      <c r="B9" s="316" t="s">
        <v>46</v>
      </c>
      <c r="C9" s="395">
        <v>15038394.960000001</v>
      </c>
      <c r="D9" s="395">
        <v>94078549.870000005</v>
      </c>
      <c r="E9" s="241">
        <v>15.98</v>
      </c>
      <c r="F9" s="241">
        <v>0</v>
      </c>
      <c r="I9" s="398"/>
      <c r="J9" s="398"/>
    </row>
    <row r="10" spans="1:10" ht="30">
      <c r="A10" s="15">
        <v>607</v>
      </c>
      <c r="B10" s="316" t="s">
        <v>50</v>
      </c>
      <c r="C10" s="397"/>
      <c r="D10" s="397"/>
      <c r="E10" s="397"/>
      <c r="F10" s="397"/>
      <c r="I10" s="398"/>
      <c r="J10" s="398"/>
    </row>
    <row r="11" spans="1:10" ht="45">
      <c r="A11" s="15">
        <v>609</v>
      </c>
      <c r="B11" s="316" t="s">
        <v>37</v>
      </c>
      <c r="C11" s="395">
        <v>854581</v>
      </c>
      <c r="D11" s="395">
        <v>4163805808</v>
      </c>
      <c r="E11" s="241">
        <v>0.02</v>
      </c>
      <c r="F11" s="241">
        <v>5</v>
      </c>
      <c r="I11" s="396">
        <v>854581</v>
      </c>
      <c r="J11" s="396">
        <v>4163805808</v>
      </c>
    </row>
    <row r="12" spans="1:10" ht="30">
      <c r="A12" s="15">
        <v>611</v>
      </c>
      <c r="B12" s="316" t="s">
        <v>47</v>
      </c>
      <c r="C12" s="397"/>
      <c r="D12" s="397"/>
      <c r="E12" s="397"/>
      <c r="F12" s="397"/>
      <c r="I12" s="398"/>
      <c r="J12" s="398"/>
    </row>
    <row r="13" spans="1:10" ht="30">
      <c r="A13" s="15">
        <v>617</v>
      </c>
      <c r="B13" s="316" t="s">
        <v>42</v>
      </c>
      <c r="C13" s="397"/>
      <c r="D13" s="397"/>
      <c r="E13" s="397"/>
      <c r="F13" s="397"/>
      <c r="I13" s="398"/>
      <c r="J13" s="398"/>
    </row>
    <row r="14" spans="1:10" ht="30">
      <c r="A14" s="15">
        <v>618</v>
      </c>
      <c r="B14" s="316" t="s">
        <v>38</v>
      </c>
      <c r="C14" s="397"/>
      <c r="D14" s="397"/>
      <c r="E14" s="397"/>
      <c r="F14" s="397"/>
      <c r="I14" s="398"/>
      <c r="J14" s="398"/>
    </row>
    <row r="15" spans="1:10" ht="30">
      <c r="A15" s="15">
        <v>619</v>
      </c>
      <c r="B15" s="316" t="s">
        <v>44</v>
      </c>
      <c r="C15" s="397"/>
      <c r="D15" s="397"/>
      <c r="E15" s="397"/>
      <c r="F15" s="397"/>
      <c r="I15" s="398"/>
      <c r="J15" s="398"/>
    </row>
    <row r="16" spans="1:10" ht="30">
      <c r="A16" s="15">
        <v>620</v>
      </c>
      <c r="B16" s="316" t="s">
        <v>48</v>
      </c>
      <c r="C16" s="395">
        <v>3144208</v>
      </c>
      <c r="D16" s="395">
        <v>214968809.44</v>
      </c>
      <c r="E16" s="241">
        <v>1.46</v>
      </c>
      <c r="F16" s="241">
        <v>0</v>
      </c>
      <c r="I16" s="396">
        <v>44568333</v>
      </c>
      <c r="J16" s="396">
        <v>2501944628</v>
      </c>
    </row>
    <row r="17" spans="1:10" ht="30">
      <c r="A17" s="15">
        <v>621</v>
      </c>
      <c r="B17" s="316" t="s">
        <v>54</v>
      </c>
      <c r="C17" s="397"/>
      <c r="D17" s="397"/>
      <c r="E17" s="397"/>
      <c r="F17" s="397"/>
      <c r="I17" s="398"/>
      <c r="J17" s="398"/>
    </row>
    <row r="18" spans="1:10" ht="45">
      <c r="A18" s="15">
        <v>624</v>
      </c>
      <c r="B18" s="316" t="s">
        <v>40</v>
      </c>
      <c r="C18" s="395">
        <v>103035.45</v>
      </c>
      <c r="D18" s="395">
        <v>36653174.490000002</v>
      </c>
      <c r="E18" s="241">
        <v>0.28000000000000003</v>
      </c>
      <c r="F18" s="241">
        <v>5</v>
      </c>
      <c r="I18" s="396">
        <v>2247938</v>
      </c>
      <c r="J18" s="396">
        <v>33791703</v>
      </c>
    </row>
    <row r="20" spans="1:10">
      <c r="B20" s="51" t="s">
        <v>23</v>
      </c>
      <c r="E20" s="399">
        <v>17.749202669999999</v>
      </c>
    </row>
    <row r="21" spans="1:10">
      <c r="B21" s="54" t="s">
        <v>24</v>
      </c>
      <c r="E21" s="370">
        <v>1.27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F1"/>
    <mergeCell ref="A2:F2"/>
  </mergeCells>
  <pageMargins left="0.35433070866141736" right="0.19685039370078738" top="0.74803149606299213" bottom="0.74803149606299213" header="0.31496062992125984" footer="0.31496062992125984"/>
  <pageSetup paperSize="9" scale="72" orientation="portrait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30">
    <tabColor rgb="FF00B050"/>
  </sheetPr>
  <dimension ref="A1:L22"/>
  <sheetViews>
    <sheetView topLeftCell="A13" workbookViewId="0">
      <selection activeCell="S23" activeCellId="1" sqref="A6:E21 S23"/>
    </sheetView>
  </sheetViews>
  <sheetFormatPr defaultColWidth="9.140625" defaultRowHeight="15"/>
  <cols>
    <col min="1" max="1" width="8.42578125" style="46" customWidth="1"/>
    <col min="2" max="2" width="41.140625" style="3" customWidth="1"/>
    <col min="3" max="3" width="24.85546875" style="3" customWidth="1"/>
    <col min="4" max="4" width="27.7109375" style="3" customWidth="1"/>
    <col min="5" max="5" width="28" style="3" customWidth="1"/>
    <col min="6" max="6" width="21.140625" style="3" customWidth="1"/>
    <col min="7" max="7" width="13.140625" style="3" customWidth="1"/>
    <col min="8" max="8" width="9.140625" style="3"/>
    <col min="9" max="9" width="33.5703125" style="3" customWidth="1"/>
    <col min="10" max="16384" width="9.140625" style="3"/>
  </cols>
  <sheetData>
    <row r="1" spans="1:9" s="178" customFormat="1" ht="53.25" customHeight="1">
      <c r="A1" s="447" t="s">
        <v>234</v>
      </c>
      <c r="B1" s="447"/>
      <c r="C1" s="447"/>
      <c r="D1" s="447"/>
      <c r="E1" s="447"/>
      <c r="F1" s="447"/>
      <c r="G1" s="447"/>
    </row>
    <row r="2" spans="1:9" ht="39.4" customHeight="1">
      <c r="A2" s="448" t="s">
        <v>235</v>
      </c>
      <c r="B2" s="448"/>
      <c r="C2" s="448"/>
      <c r="D2" s="448"/>
      <c r="E2" s="448"/>
      <c r="F2" s="448"/>
      <c r="G2" s="448"/>
    </row>
    <row r="3" spans="1:9" ht="30">
      <c r="B3" s="46" t="s">
        <v>197</v>
      </c>
      <c r="C3" s="46" t="s">
        <v>197</v>
      </c>
      <c r="D3" s="46"/>
      <c r="E3" s="46"/>
      <c r="F3" s="46"/>
    </row>
    <row r="5" spans="1:9" ht="153" customHeight="1">
      <c r="A5" s="47" t="s">
        <v>35</v>
      </c>
      <c r="B5" s="47" t="s">
        <v>2</v>
      </c>
      <c r="C5" s="232" t="s">
        <v>236</v>
      </c>
      <c r="D5" s="232" t="s">
        <v>237</v>
      </c>
      <c r="E5" s="232" t="s">
        <v>238</v>
      </c>
      <c r="F5" s="232" t="s">
        <v>239</v>
      </c>
      <c r="G5" s="232" t="s">
        <v>139</v>
      </c>
      <c r="I5" s="46" t="s">
        <v>240</v>
      </c>
    </row>
    <row r="6" spans="1:9">
      <c r="A6" s="52">
        <v>601</v>
      </c>
      <c r="B6" s="394" t="s">
        <v>13</v>
      </c>
      <c r="C6" s="397"/>
      <c r="D6" s="397"/>
      <c r="E6" s="397"/>
      <c r="F6" s="397"/>
      <c r="G6" s="397"/>
    </row>
    <row r="7" spans="1:9" ht="30">
      <c r="A7" s="15">
        <v>602</v>
      </c>
      <c r="B7" s="316" t="s">
        <v>53</v>
      </c>
      <c r="C7" s="397"/>
      <c r="D7" s="397"/>
      <c r="E7" s="397"/>
      <c r="F7" s="397"/>
      <c r="G7" s="397"/>
    </row>
    <row r="8" spans="1:9" ht="30">
      <c r="A8" s="15">
        <v>604</v>
      </c>
      <c r="B8" s="316" t="s">
        <v>49</v>
      </c>
      <c r="C8" s="397"/>
      <c r="D8" s="397"/>
      <c r="E8" s="397"/>
      <c r="F8" s="397"/>
      <c r="G8" s="397"/>
    </row>
    <row r="9" spans="1:9" ht="45">
      <c r="A9" s="15">
        <v>605</v>
      </c>
      <c r="B9" s="316" t="s">
        <v>45</v>
      </c>
      <c r="C9" s="397"/>
      <c r="D9" s="397"/>
      <c r="E9" s="397"/>
      <c r="F9" s="397"/>
      <c r="G9" s="397"/>
    </row>
    <row r="10" spans="1:9" ht="30">
      <c r="A10" s="15">
        <v>606</v>
      </c>
      <c r="B10" s="316" t="s">
        <v>46</v>
      </c>
      <c r="C10" s="241">
        <v>1</v>
      </c>
      <c r="D10" s="241">
        <v>0</v>
      </c>
      <c r="E10" s="241">
        <v>1</v>
      </c>
      <c r="F10" s="241">
        <v>100</v>
      </c>
      <c r="G10" s="241">
        <v>5</v>
      </c>
    </row>
    <row r="11" spans="1:9" ht="30">
      <c r="A11" s="15">
        <v>607</v>
      </c>
      <c r="B11" s="316" t="s">
        <v>50</v>
      </c>
      <c r="C11" s="397"/>
      <c r="D11" s="397"/>
      <c r="E11" s="397"/>
      <c r="F11" s="397"/>
      <c r="G11" s="397"/>
    </row>
    <row r="12" spans="1:9" ht="45">
      <c r="A12" s="15">
        <v>609</v>
      </c>
      <c r="B12" s="316" t="s">
        <v>37</v>
      </c>
      <c r="C12" s="241">
        <v>1</v>
      </c>
      <c r="D12" s="241">
        <v>0</v>
      </c>
      <c r="E12" s="241">
        <v>1</v>
      </c>
      <c r="F12" s="241">
        <v>100</v>
      </c>
      <c r="G12" s="241">
        <v>5</v>
      </c>
    </row>
    <row r="13" spans="1:9" ht="30">
      <c r="A13" s="15">
        <v>611</v>
      </c>
      <c r="B13" s="316" t="s">
        <v>47</v>
      </c>
      <c r="C13" s="397"/>
      <c r="D13" s="397"/>
      <c r="E13" s="397"/>
      <c r="F13" s="397"/>
      <c r="G13" s="397"/>
    </row>
    <row r="14" spans="1:9" ht="30">
      <c r="A14" s="15">
        <v>617</v>
      </c>
      <c r="B14" s="316" t="s">
        <v>42</v>
      </c>
      <c r="C14" s="397"/>
      <c r="D14" s="397"/>
      <c r="E14" s="397"/>
      <c r="F14" s="397"/>
      <c r="G14" s="397"/>
    </row>
    <row r="15" spans="1:9" ht="30">
      <c r="A15" s="15">
        <v>618</v>
      </c>
      <c r="B15" s="316" t="s">
        <v>38</v>
      </c>
      <c r="C15" s="397"/>
      <c r="D15" s="397"/>
      <c r="E15" s="397"/>
      <c r="F15" s="397"/>
      <c r="G15" s="397"/>
    </row>
    <row r="16" spans="1:9" ht="30">
      <c r="A16" s="15">
        <v>619</v>
      </c>
      <c r="B16" s="316" t="s">
        <v>44</v>
      </c>
      <c r="C16" s="397"/>
      <c r="D16" s="397"/>
      <c r="E16" s="397"/>
      <c r="F16" s="397"/>
      <c r="G16" s="397"/>
    </row>
    <row r="17" spans="1:12" ht="30">
      <c r="A17" s="15">
        <v>620</v>
      </c>
      <c r="B17" s="316" t="s">
        <v>48</v>
      </c>
      <c r="C17" s="241">
        <v>1</v>
      </c>
      <c r="D17" s="241">
        <v>0</v>
      </c>
      <c r="E17" s="241">
        <v>1</v>
      </c>
      <c r="F17" s="241">
        <v>100</v>
      </c>
      <c r="G17" s="241">
        <v>5</v>
      </c>
    </row>
    <row r="18" spans="1:12" ht="30">
      <c r="A18" s="15">
        <v>621</v>
      </c>
      <c r="B18" s="316" t="s">
        <v>54</v>
      </c>
      <c r="C18" s="397"/>
      <c r="D18" s="397"/>
      <c r="E18" s="397"/>
      <c r="F18" s="397"/>
      <c r="G18" s="397"/>
    </row>
    <row r="19" spans="1:12" ht="45">
      <c r="A19" s="15">
        <v>624</v>
      </c>
      <c r="B19" s="316" t="s">
        <v>40</v>
      </c>
      <c r="C19" s="241">
        <v>1</v>
      </c>
      <c r="D19" s="241">
        <v>0</v>
      </c>
      <c r="E19" s="241">
        <v>1</v>
      </c>
      <c r="F19" s="241">
        <v>100</v>
      </c>
      <c r="G19" s="241">
        <v>5</v>
      </c>
      <c r="J19" s="49">
        <v>1</v>
      </c>
      <c r="K19" s="49"/>
      <c r="L19" s="49">
        <v>1</v>
      </c>
    </row>
    <row r="21" spans="1:12">
      <c r="B21" s="51" t="s">
        <v>23</v>
      </c>
      <c r="F21" s="399">
        <v>400</v>
      </c>
    </row>
    <row r="22" spans="1:12">
      <c r="B22" s="54" t="s">
        <v>24</v>
      </c>
      <c r="F22" s="370">
        <v>28.57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G1"/>
    <mergeCell ref="A2:G2"/>
  </mergeCells>
  <pageMargins left="0.71" right="0.19685039370078738" top="0.45000000000000007" bottom="0.16" header="0.31496062992125984" footer="0.16"/>
  <pageSetup paperSize="9" scale="6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>
    <tabColor rgb="FFCC0066"/>
  </sheetPr>
  <dimension ref="A1:W96"/>
  <sheetViews>
    <sheetView workbookViewId="0">
      <selection activeCell="I4" sqref="I1:I1048576"/>
    </sheetView>
  </sheetViews>
  <sheetFormatPr defaultRowHeight="15.75"/>
  <cols>
    <col min="1" max="1" width="9.140625" style="62"/>
    <col min="2" max="2" width="57.42578125" style="56" customWidth="1"/>
    <col min="3" max="3" width="15" style="56" customWidth="1"/>
    <col min="4" max="4" width="13.28515625" style="61" customWidth="1"/>
    <col min="5" max="5" width="13.42578125" style="61" customWidth="1"/>
    <col min="6" max="6" width="22.5703125" style="61" customWidth="1"/>
    <col min="7" max="7" width="24.28515625" style="61" customWidth="1"/>
    <col min="8" max="8" width="16.5703125" style="62" customWidth="1"/>
    <col min="9" max="9" width="11.42578125" style="61" hidden="1" customWidth="1"/>
    <col min="10" max="10" width="18.5703125" style="62" hidden="1" customWidth="1"/>
    <col min="11" max="11" width="0" style="62" hidden="1" customWidth="1"/>
    <col min="12" max="35" width="0" style="61" hidden="1" customWidth="1"/>
    <col min="36" max="16384" width="9.140625" style="61"/>
  </cols>
  <sheetData>
    <row r="1" spans="1:23" ht="18.95" customHeight="1">
      <c r="A1" s="433" t="s">
        <v>55</v>
      </c>
      <c r="B1" s="433"/>
      <c r="C1" s="433"/>
      <c r="D1" s="433"/>
      <c r="E1" s="433"/>
      <c r="F1" s="433"/>
      <c r="G1" s="433"/>
      <c r="H1" s="433"/>
      <c r="I1" s="433"/>
    </row>
    <row r="2" spans="1:23" ht="18.95" customHeight="1">
      <c r="A2" s="433" t="s">
        <v>56</v>
      </c>
      <c r="B2" s="433"/>
      <c r="C2" s="433"/>
      <c r="D2" s="433"/>
      <c r="E2" s="433"/>
      <c r="F2" s="433"/>
      <c r="G2" s="433"/>
      <c r="H2" s="433"/>
      <c r="I2" s="433"/>
    </row>
    <row r="3" spans="1:23" ht="18.95" customHeight="1">
      <c r="A3" s="433" t="s">
        <v>249</v>
      </c>
      <c r="B3" s="433"/>
      <c r="C3" s="433"/>
      <c r="D3" s="433"/>
      <c r="E3" s="433"/>
      <c r="F3" s="433"/>
      <c r="G3" s="433"/>
      <c r="H3" s="433"/>
      <c r="I3" s="433"/>
    </row>
    <row r="4" spans="1:23" s="63" customFormat="1">
      <c r="A4" s="64"/>
      <c r="B4" s="434"/>
      <c r="C4" s="434"/>
      <c r="D4" s="434"/>
      <c r="E4" s="434"/>
      <c r="F4" s="434"/>
      <c r="G4" s="434"/>
      <c r="H4" s="434"/>
      <c r="J4" s="64"/>
      <c r="K4" s="64"/>
    </row>
    <row r="5" spans="1:23" ht="15.75" customHeight="1">
      <c r="A5" s="435" t="s">
        <v>35</v>
      </c>
      <c r="B5" s="436" t="s">
        <v>57</v>
      </c>
      <c r="C5" s="437" t="s">
        <v>58</v>
      </c>
      <c r="D5" s="437"/>
      <c r="E5" s="437"/>
      <c r="F5" s="437"/>
      <c r="G5" s="437"/>
      <c r="H5" s="426" t="s">
        <v>59</v>
      </c>
      <c r="I5" s="438" t="s">
        <v>5</v>
      </c>
      <c r="J5" s="426"/>
    </row>
    <row r="6" spans="1:23" ht="18.95" customHeight="1">
      <c r="A6" s="435"/>
      <c r="B6" s="436"/>
      <c r="C6" s="427" t="s">
        <v>60</v>
      </c>
      <c r="D6" s="430" t="s">
        <v>61</v>
      </c>
      <c r="E6" s="427" t="s">
        <v>62</v>
      </c>
      <c r="F6" s="430" t="s">
        <v>63</v>
      </c>
      <c r="G6" s="427" t="s">
        <v>64</v>
      </c>
      <c r="H6" s="426"/>
      <c r="I6" s="438"/>
      <c r="J6" s="426"/>
    </row>
    <row r="7" spans="1:23" ht="18.95" customHeight="1">
      <c r="A7" s="435"/>
      <c r="B7" s="436"/>
      <c r="C7" s="428"/>
      <c r="D7" s="431"/>
      <c r="E7" s="428"/>
      <c r="F7" s="431"/>
      <c r="G7" s="428"/>
      <c r="H7" s="426"/>
      <c r="I7" s="438"/>
      <c r="J7" s="426"/>
    </row>
    <row r="8" spans="1:23" ht="105.75" customHeight="1">
      <c r="A8" s="435"/>
      <c r="B8" s="436"/>
      <c r="C8" s="429"/>
      <c r="D8" s="432"/>
      <c r="E8" s="429"/>
      <c r="F8" s="432"/>
      <c r="G8" s="429"/>
      <c r="H8" s="426"/>
      <c r="I8" s="438"/>
      <c r="J8" s="426"/>
    </row>
    <row r="9" spans="1:23" s="62" customFormat="1">
      <c r="A9" s="66">
        <v>1</v>
      </c>
      <c r="B9" s="66">
        <v>2</v>
      </c>
      <c r="C9" s="66">
        <v>3</v>
      </c>
      <c r="D9" s="66">
        <v>4</v>
      </c>
      <c r="E9" s="66">
        <v>5</v>
      </c>
      <c r="F9" s="66">
        <v>6</v>
      </c>
      <c r="G9" s="66">
        <v>7</v>
      </c>
      <c r="H9" s="66">
        <v>8</v>
      </c>
      <c r="I9" s="66">
        <v>9</v>
      </c>
      <c r="J9" s="65"/>
    </row>
    <row r="10" spans="1:23" s="62" customFormat="1">
      <c r="A10" s="67">
        <v>600</v>
      </c>
      <c r="B10" s="15" t="s">
        <v>51</v>
      </c>
      <c r="C10" s="68">
        <f>' РАСЧЕТЫ по ГРБС 2022'!F4</f>
        <v>0.86</v>
      </c>
      <c r="D10" s="69">
        <f>' РАСЧЕТЫ по ГРБС 2022'!F10</f>
        <v>1.75</v>
      </c>
      <c r="E10" s="70">
        <f>' РАСЧЕТЫ по ГРБС 2022'!F22</f>
        <v>0.71</v>
      </c>
      <c r="F10" s="71"/>
      <c r="G10" s="71"/>
      <c r="H10" s="72">
        <f t="shared" ref="H10:H25" si="0">SUM(C10:G10)</f>
        <v>3.32</v>
      </c>
      <c r="I10" s="73">
        <v>10</v>
      </c>
      <c r="J10" s="65"/>
      <c r="P10" s="67">
        <v>600</v>
      </c>
      <c r="Q10" s="74" t="s">
        <v>65</v>
      </c>
      <c r="R10" s="74">
        <v>609</v>
      </c>
      <c r="T10" s="62" t="s">
        <v>65</v>
      </c>
      <c r="U10" s="62">
        <v>609</v>
      </c>
      <c r="V10" s="62" t="s">
        <v>37</v>
      </c>
      <c r="W10" s="62">
        <v>4.41</v>
      </c>
    </row>
    <row r="11" spans="1:23">
      <c r="A11" s="67">
        <v>601</v>
      </c>
      <c r="B11" s="52" t="s">
        <v>13</v>
      </c>
      <c r="C11" s="69">
        <f>' РАСЧЕТЫ по ГРБС 2022'!K4</f>
        <v>0.64</v>
      </c>
      <c r="D11" s="72">
        <f>' РАСЧЕТЫ по ГРБС 2022'!K10</f>
        <v>1.56</v>
      </c>
      <c r="E11" s="72">
        <f>' РАСЧЕТЫ по ГРБС 2022'!K22</f>
        <v>0.46</v>
      </c>
      <c r="F11" s="68">
        <f>' РАСЧЕТЫ по ГРБС 2022'!K28</f>
        <v>0.6</v>
      </c>
      <c r="G11" s="68">
        <f>' РАСЧЕТЫ по ГРБС 2022'!K31</f>
        <v>0.5</v>
      </c>
      <c r="H11" s="68">
        <f t="shared" si="0"/>
        <v>3.7600000000000002</v>
      </c>
      <c r="I11" s="73">
        <v>5</v>
      </c>
      <c r="J11" s="75">
        <v>3.6400000000000006</v>
      </c>
      <c r="K11" s="76">
        <f t="shared" ref="K11:K24" si="1">H11-J11</f>
        <v>0.11999999999999966</v>
      </c>
      <c r="L11" s="62">
        <v>601</v>
      </c>
      <c r="N11" s="77" t="s">
        <v>65</v>
      </c>
      <c r="O11" s="52">
        <v>609</v>
      </c>
      <c r="P11" s="67">
        <v>601</v>
      </c>
      <c r="Q11" s="74" t="s">
        <v>66</v>
      </c>
      <c r="R11" s="74">
        <v>643</v>
      </c>
      <c r="T11" s="61">
        <v>2</v>
      </c>
      <c r="U11" s="61">
        <v>606</v>
      </c>
      <c r="V11" s="61" t="s">
        <v>46</v>
      </c>
      <c r="W11" s="61">
        <v>4.2900000000000009</v>
      </c>
    </row>
    <row r="12" spans="1:23" ht="30">
      <c r="A12" s="47">
        <v>602</v>
      </c>
      <c r="B12" s="15" t="s">
        <v>53</v>
      </c>
      <c r="C12" s="68">
        <f>' РАСЧЕТЫ по ГРБС 2022'!P4</f>
        <v>0.74</v>
      </c>
      <c r="D12" s="68">
        <f>' РАСЧЕТЫ по ГРБС 2022'!P10</f>
        <v>1.86</v>
      </c>
      <c r="E12" s="72">
        <f>' РАСЧЕТЫ по ГРБС 2022'!P22</f>
        <v>0.45</v>
      </c>
      <c r="F12" s="71"/>
      <c r="G12" s="71"/>
      <c r="H12" s="72">
        <f t="shared" si="0"/>
        <v>3.0500000000000003</v>
      </c>
      <c r="I12" s="73">
        <v>14</v>
      </c>
      <c r="J12" s="75">
        <v>1.93</v>
      </c>
      <c r="K12" s="76">
        <f t="shared" si="1"/>
        <v>1.1200000000000003</v>
      </c>
      <c r="L12" s="62">
        <v>602</v>
      </c>
      <c r="N12" s="77" t="s">
        <v>66</v>
      </c>
      <c r="O12" s="15">
        <v>604</v>
      </c>
      <c r="P12" s="47">
        <v>602</v>
      </c>
      <c r="Q12" s="74" t="s">
        <v>67</v>
      </c>
      <c r="R12" s="74">
        <v>617</v>
      </c>
      <c r="T12" s="61" t="s">
        <v>67</v>
      </c>
      <c r="U12" s="61">
        <v>611</v>
      </c>
      <c r="V12" s="61" t="s">
        <v>47</v>
      </c>
      <c r="W12" s="61">
        <v>4.12</v>
      </c>
    </row>
    <row r="13" spans="1:23" ht="30">
      <c r="A13" s="47">
        <v>604</v>
      </c>
      <c r="B13" s="15" t="s">
        <v>49</v>
      </c>
      <c r="C13" s="78">
        <f>' РАСЧЕТЫ по ГРБС 2022'!U4</f>
        <v>0.51</v>
      </c>
      <c r="D13" s="68">
        <f>' РАСЧЕТЫ по ГРБС 2022'!U10</f>
        <v>2.33</v>
      </c>
      <c r="E13" s="70">
        <f>' РАСЧЕТЫ по ГРБС 2022'!U22</f>
        <v>0.71</v>
      </c>
      <c r="F13" s="71"/>
      <c r="G13" s="71"/>
      <c r="H13" s="68">
        <f t="shared" si="0"/>
        <v>3.55</v>
      </c>
      <c r="I13" s="73">
        <v>4</v>
      </c>
      <c r="J13" s="75">
        <v>4.47</v>
      </c>
      <c r="K13" s="76">
        <f t="shared" si="1"/>
        <v>-0.91999999999999993</v>
      </c>
      <c r="L13" s="62">
        <v>604</v>
      </c>
      <c r="N13" s="77" t="s">
        <v>67</v>
      </c>
      <c r="O13" s="15">
        <v>605</v>
      </c>
      <c r="P13" s="47">
        <v>604</v>
      </c>
      <c r="Q13" s="74">
        <v>4</v>
      </c>
      <c r="R13" s="74">
        <v>604</v>
      </c>
      <c r="T13" s="61" t="s">
        <v>68</v>
      </c>
      <c r="U13" s="61">
        <v>607</v>
      </c>
      <c r="V13" s="61" t="s">
        <v>50</v>
      </c>
      <c r="W13" s="61">
        <v>3.97</v>
      </c>
    </row>
    <row r="14" spans="1:23" ht="30">
      <c r="A14" s="47">
        <v>605</v>
      </c>
      <c r="B14" s="15" t="s">
        <v>69</v>
      </c>
      <c r="C14" s="68">
        <f>' РАСЧЕТЫ по ГРБС 2022'!Z4</f>
        <v>0.86</v>
      </c>
      <c r="D14" s="68">
        <f>' РАСЧЕТЫ по ГРБС 2022'!Z10</f>
        <v>2.2999999999999998</v>
      </c>
      <c r="E14" s="68">
        <f>' РАСЧЕТЫ по ГРБС 2022'!Z22</f>
        <v>0.52</v>
      </c>
      <c r="F14" s="71"/>
      <c r="G14" s="71"/>
      <c r="H14" s="68">
        <f t="shared" si="0"/>
        <v>3.6799999999999997</v>
      </c>
      <c r="I14" s="73">
        <v>7</v>
      </c>
      <c r="J14" s="75">
        <v>4.3100000000000005</v>
      </c>
      <c r="K14" s="76">
        <f t="shared" si="1"/>
        <v>-0.63000000000000078</v>
      </c>
      <c r="L14" s="62">
        <v>605</v>
      </c>
      <c r="N14" s="77" t="s">
        <v>68</v>
      </c>
      <c r="O14" s="15">
        <v>617</v>
      </c>
      <c r="P14" s="47">
        <v>605</v>
      </c>
      <c r="Q14" s="74" t="s">
        <v>70</v>
      </c>
      <c r="R14" s="74">
        <v>601</v>
      </c>
      <c r="T14" s="61" t="s">
        <v>70</v>
      </c>
      <c r="U14" s="61">
        <v>601</v>
      </c>
      <c r="V14" s="61" t="s">
        <v>13</v>
      </c>
      <c r="W14" s="61">
        <v>3.74</v>
      </c>
    </row>
    <row r="15" spans="1:23" s="62" customFormat="1">
      <c r="A15" s="47">
        <v>606</v>
      </c>
      <c r="B15" s="15" t="s">
        <v>46</v>
      </c>
      <c r="C15" s="68">
        <f>' РАСЧЕТЫ по ГРБС 2022'!AE4</f>
        <v>0.85</v>
      </c>
      <c r="D15" s="72">
        <f>' РАСЧЕТЫ по ГРБС 2022'!AE10</f>
        <v>1.63</v>
      </c>
      <c r="E15" s="79">
        <f>' РАСЧЕТЫ по ГРБС 2022'!AE22</f>
        <v>0.53</v>
      </c>
      <c r="F15" s="71"/>
      <c r="G15" s="70">
        <f>' РАСЧЕТЫ по ГРБС 2022'!AE31</f>
        <v>0.63</v>
      </c>
      <c r="H15" s="68">
        <f t="shared" si="0"/>
        <v>3.6399999999999997</v>
      </c>
      <c r="I15" s="73">
        <v>6</v>
      </c>
      <c r="J15" s="80">
        <v>3.5400000000000005</v>
      </c>
      <c r="K15" s="81">
        <f t="shared" si="1"/>
        <v>9.9999999999999201E-2</v>
      </c>
      <c r="L15" s="82">
        <v>606</v>
      </c>
      <c r="M15" s="82"/>
      <c r="N15" s="83" t="s">
        <v>70</v>
      </c>
      <c r="O15" s="84">
        <v>601</v>
      </c>
      <c r="P15" s="47">
        <v>606</v>
      </c>
      <c r="Q15" s="74">
        <v>6</v>
      </c>
      <c r="R15" s="74">
        <v>606</v>
      </c>
      <c r="T15" s="62">
        <v>6</v>
      </c>
      <c r="U15" s="62">
        <v>604</v>
      </c>
      <c r="V15" s="62" t="s">
        <v>49</v>
      </c>
      <c r="W15" s="62">
        <v>3.71</v>
      </c>
    </row>
    <row r="16" spans="1:23" ht="30">
      <c r="A16" s="47">
        <v>607</v>
      </c>
      <c r="B16" s="15" t="s">
        <v>50</v>
      </c>
      <c r="C16" s="68">
        <f>' РАСЧЕТЫ по ГРБС 2022'!AJ4</f>
        <v>0.8</v>
      </c>
      <c r="D16" s="72">
        <f>' РАСЧЕТЫ по ГРБС 2022'!AJ10</f>
        <v>1.7</v>
      </c>
      <c r="E16" s="72">
        <f>' РАСЧЕТЫ по ГРБС 2022'!AJ22</f>
        <v>0.38</v>
      </c>
      <c r="F16" s="71"/>
      <c r="G16" s="70">
        <f>' РАСЧЕТЫ по ГРБС 2022'!AJ31</f>
        <v>0.63</v>
      </c>
      <c r="H16" s="79">
        <f t="shared" si="0"/>
        <v>3.51</v>
      </c>
      <c r="I16" s="73">
        <v>12</v>
      </c>
      <c r="J16" s="80">
        <v>3.5300000000000007</v>
      </c>
      <c r="K16" s="81">
        <f t="shared" si="1"/>
        <v>-2.0000000000000906E-2</v>
      </c>
      <c r="L16" s="82">
        <v>607</v>
      </c>
      <c r="M16" s="85"/>
      <c r="N16" s="83" t="s">
        <v>71</v>
      </c>
      <c r="O16" s="84">
        <v>606</v>
      </c>
      <c r="P16" s="47">
        <v>607</v>
      </c>
      <c r="Q16" s="74" t="s">
        <v>72</v>
      </c>
      <c r="R16" s="74">
        <v>605</v>
      </c>
      <c r="T16" s="61" t="s">
        <v>72</v>
      </c>
      <c r="U16" s="61">
        <v>620</v>
      </c>
      <c r="V16" s="61" t="s">
        <v>48</v>
      </c>
      <c r="W16" s="61">
        <v>3.7</v>
      </c>
    </row>
    <row r="17" spans="1:23" ht="30">
      <c r="A17" s="47">
        <v>609</v>
      </c>
      <c r="B17" s="15" t="s">
        <v>37</v>
      </c>
      <c r="C17" s="68">
        <f>' РАСЧЕТЫ по ГРБС 2022'!AO4</f>
        <v>0.89</v>
      </c>
      <c r="D17" s="79">
        <f>' РАСЧЕТЫ по ГРБС 2022'!AO10</f>
        <v>1.91</v>
      </c>
      <c r="E17" s="69">
        <f>' РАСЧЕТЫ по ГРБС 2022'!AO22</f>
        <v>0.51</v>
      </c>
      <c r="F17" s="86">
        <f>' РАСЧЕТЫ по ГРБС 2022'!AO28</f>
        <v>1.1100000000000001</v>
      </c>
      <c r="G17" s="71"/>
      <c r="H17" s="70">
        <f t="shared" si="0"/>
        <v>4.42</v>
      </c>
      <c r="I17" s="73">
        <v>1</v>
      </c>
      <c r="J17" s="80">
        <v>4.5600000000000005</v>
      </c>
      <c r="K17" s="81">
        <f t="shared" si="1"/>
        <v>-0.14000000000000057</v>
      </c>
      <c r="L17" s="82">
        <v>609</v>
      </c>
      <c r="M17" s="85"/>
      <c r="N17" s="83" t="s">
        <v>72</v>
      </c>
      <c r="O17" s="84">
        <v>607</v>
      </c>
      <c r="P17" s="47">
        <v>609</v>
      </c>
      <c r="Q17" s="74" t="s">
        <v>73</v>
      </c>
      <c r="R17" s="74">
        <v>618</v>
      </c>
      <c r="T17" s="61" t="s">
        <v>73</v>
      </c>
      <c r="U17" s="61">
        <v>643</v>
      </c>
      <c r="V17" s="61" t="s">
        <v>52</v>
      </c>
      <c r="W17" s="61">
        <v>3.69</v>
      </c>
    </row>
    <row r="18" spans="1:23" ht="30">
      <c r="A18" s="47">
        <v>611</v>
      </c>
      <c r="B18" s="15" t="s">
        <v>47</v>
      </c>
      <c r="C18" s="72">
        <f>' РАСЧЕТЫ по ГРБС 2022'!AT4</f>
        <v>0.7</v>
      </c>
      <c r="D18" s="72">
        <f>' РАСЧЕТЫ по ГРБС 2022'!AT10</f>
        <v>1.76</v>
      </c>
      <c r="E18" s="72">
        <f>' РАСЧЕТЫ по ГРБС 2022'!AT22</f>
        <v>0.5</v>
      </c>
      <c r="F18" s="71"/>
      <c r="G18" s="70">
        <f>' РАСЧЕТЫ по ГРБС 2022'!AT31</f>
        <v>0.63</v>
      </c>
      <c r="H18" s="68">
        <f t="shared" si="0"/>
        <v>3.59</v>
      </c>
      <c r="I18" s="73">
        <v>9</v>
      </c>
      <c r="J18" s="80">
        <v>2.58</v>
      </c>
      <c r="K18" s="81">
        <f t="shared" si="1"/>
        <v>1.0099999999999998</v>
      </c>
      <c r="L18" s="82">
        <v>611</v>
      </c>
      <c r="M18" s="85"/>
      <c r="N18" s="83" t="s">
        <v>73</v>
      </c>
      <c r="O18" s="84">
        <v>618</v>
      </c>
      <c r="P18" s="47">
        <v>611</v>
      </c>
      <c r="Q18" s="74" t="s">
        <v>74</v>
      </c>
      <c r="R18" s="74">
        <v>611</v>
      </c>
      <c r="T18" s="61" t="s">
        <v>74</v>
      </c>
      <c r="U18" s="61">
        <v>624</v>
      </c>
      <c r="V18" s="61" t="s">
        <v>40</v>
      </c>
      <c r="W18" s="61">
        <v>3.43</v>
      </c>
    </row>
    <row r="19" spans="1:23">
      <c r="A19" s="47">
        <v>617</v>
      </c>
      <c r="B19" s="15" t="s">
        <v>42</v>
      </c>
      <c r="C19" s="69">
        <f>' РАСЧЕТЫ по ГРБС 2022'!AY4</f>
        <v>0.69</v>
      </c>
      <c r="D19" s="86">
        <f>' РАСЧЕТЫ по ГРБС 2022'!AY10</f>
        <v>2.4900000000000002</v>
      </c>
      <c r="E19" s="68">
        <f>' РАСЧЕТЫ по ГРБС 2022'!AY22</f>
        <v>0.57999999999999996</v>
      </c>
      <c r="F19" s="71"/>
      <c r="G19" s="71"/>
      <c r="H19" s="68">
        <f t="shared" si="0"/>
        <v>3.7600000000000002</v>
      </c>
      <c r="I19" s="73">
        <v>3</v>
      </c>
      <c r="J19" s="75">
        <v>3.7699999999999996</v>
      </c>
      <c r="K19" s="76">
        <f t="shared" si="1"/>
        <v>-9.9999999999993427E-3</v>
      </c>
      <c r="L19" s="62">
        <v>617</v>
      </c>
      <c r="N19" s="77" t="s">
        <v>74</v>
      </c>
      <c r="O19" s="15">
        <v>619</v>
      </c>
      <c r="P19" s="47">
        <v>617</v>
      </c>
      <c r="Q19" s="74" t="s">
        <v>75</v>
      </c>
      <c r="R19" s="74">
        <v>600</v>
      </c>
      <c r="T19" s="61" t="s">
        <v>75</v>
      </c>
      <c r="U19" s="61">
        <v>600</v>
      </c>
      <c r="V19" s="61" t="s">
        <v>51</v>
      </c>
      <c r="W19" s="61">
        <v>3.05</v>
      </c>
    </row>
    <row r="20" spans="1:23">
      <c r="A20" s="47">
        <v>618</v>
      </c>
      <c r="B20" s="15" t="s">
        <v>38</v>
      </c>
      <c r="C20" s="68">
        <f>' РАСЧЕТЫ по ГРБС 2022'!BD4</f>
        <v>1.0900000000000001</v>
      </c>
      <c r="D20" s="68">
        <f>' РАСЧЕТЫ по ГРБС 2022'!BD10</f>
        <v>2.34</v>
      </c>
      <c r="E20" s="68">
        <f>' РАСЧЕТЫ по ГРБС 2022'!BD22</f>
        <v>0.65</v>
      </c>
      <c r="F20" s="71"/>
      <c r="G20" s="71"/>
      <c r="H20" s="79">
        <f t="shared" si="0"/>
        <v>4.08</v>
      </c>
      <c r="I20" s="73">
        <v>8</v>
      </c>
      <c r="J20" s="75">
        <v>3.3</v>
      </c>
      <c r="K20" s="76">
        <f t="shared" si="1"/>
        <v>0.78000000000000025</v>
      </c>
      <c r="L20" s="62">
        <v>618</v>
      </c>
      <c r="N20" s="77" t="s">
        <v>75</v>
      </c>
      <c r="O20" s="15">
        <v>624</v>
      </c>
      <c r="P20" s="47">
        <v>618</v>
      </c>
      <c r="Q20" s="74" t="s">
        <v>76</v>
      </c>
      <c r="R20" s="74">
        <v>621</v>
      </c>
      <c r="T20" s="61" t="s">
        <v>76</v>
      </c>
      <c r="U20" s="61">
        <v>618</v>
      </c>
      <c r="V20" s="61" t="s">
        <v>38</v>
      </c>
      <c r="W20" s="61">
        <v>3.03</v>
      </c>
    </row>
    <row r="21" spans="1:23">
      <c r="A21" s="47">
        <v>619</v>
      </c>
      <c r="B21" s="15" t="s">
        <v>44</v>
      </c>
      <c r="C21" s="68">
        <f>' РАСЧЕТЫ по ГРБС 2022'!BI4</f>
        <v>0.97</v>
      </c>
      <c r="D21" s="68">
        <f>' РАСЧЕТЫ по ГРБС 2022'!BI10</f>
        <v>2.17</v>
      </c>
      <c r="E21" s="68">
        <f>' РАСЧЕТЫ по ГРБС 2022'!BI22</f>
        <v>0.57999999999999996</v>
      </c>
      <c r="F21" s="71"/>
      <c r="G21" s="71"/>
      <c r="H21" s="79">
        <f t="shared" si="0"/>
        <v>3.7199999999999998</v>
      </c>
      <c r="I21" s="73">
        <v>15</v>
      </c>
      <c r="J21" s="75">
        <v>3.24</v>
      </c>
      <c r="K21" s="76">
        <f t="shared" si="1"/>
        <v>0.47999999999999954</v>
      </c>
      <c r="L21" s="62">
        <v>619</v>
      </c>
      <c r="N21" s="77" t="s">
        <v>76</v>
      </c>
      <c r="O21" s="15">
        <v>621</v>
      </c>
      <c r="P21" s="47">
        <v>619</v>
      </c>
      <c r="Q21" s="74" t="s">
        <v>77</v>
      </c>
      <c r="R21" s="74">
        <v>607</v>
      </c>
      <c r="T21" s="61" t="s">
        <v>77</v>
      </c>
      <c r="U21" s="61">
        <v>619</v>
      </c>
      <c r="V21" s="61" t="s">
        <v>44</v>
      </c>
      <c r="W21" s="61">
        <v>3</v>
      </c>
    </row>
    <row r="22" spans="1:23" ht="30">
      <c r="A22" s="47">
        <v>620</v>
      </c>
      <c r="B22" s="15" t="s">
        <v>48</v>
      </c>
      <c r="C22" s="72">
        <f>' РАСЧЕТЫ по ГРБС 2022'!BN4</f>
        <v>0.64</v>
      </c>
      <c r="D22" s="72">
        <f>' РАСЧЕТЫ по ГРБС 2022'!BN10</f>
        <v>1.74</v>
      </c>
      <c r="E22" s="87">
        <f>' РАСЧЕТЫ по ГРБС 2022'!BN22</f>
        <v>0.3</v>
      </c>
      <c r="F22" s="68">
        <f>' РАСЧЕТЫ по ГРБС 2022'!BN28</f>
        <v>0.4</v>
      </c>
      <c r="G22" s="68">
        <f>' РАСЧЕТЫ по ГРБС 2022'!BN31</f>
        <v>0.5</v>
      </c>
      <c r="H22" s="68">
        <f t="shared" si="0"/>
        <v>3.5799999999999996</v>
      </c>
      <c r="I22" s="73">
        <v>13</v>
      </c>
      <c r="J22" s="75">
        <v>2.6700000000000004</v>
      </c>
      <c r="K22" s="76">
        <f t="shared" si="1"/>
        <v>0.90999999999999925</v>
      </c>
      <c r="L22" s="62">
        <v>620</v>
      </c>
      <c r="N22" s="77" t="s">
        <v>77</v>
      </c>
      <c r="O22" s="15">
        <v>620</v>
      </c>
      <c r="P22" s="47">
        <v>620</v>
      </c>
      <c r="Q22" s="74" t="s">
        <v>78</v>
      </c>
      <c r="R22" s="74">
        <v>620</v>
      </c>
      <c r="T22" s="61" t="s">
        <v>78</v>
      </c>
      <c r="U22" s="61">
        <v>605</v>
      </c>
      <c r="V22" s="61" t="s">
        <v>79</v>
      </c>
      <c r="W22" s="61">
        <v>2.98</v>
      </c>
    </row>
    <row r="23" spans="1:23" ht="30">
      <c r="A23" s="47">
        <v>621</v>
      </c>
      <c r="B23" s="15" t="s">
        <v>54</v>
      </c>
      <c r="C23" s="72">
        <f>' РАСЧЕТЫ по ГРБС 2022'!BS4</f>
        <v>0.57999999999999996</v>
      </c>
      <c r="D23" s="87">
        <f>' РАСЧЕТЫ по ГРБС 2022'!BS10</f>
        <v>1.24</v>
      </c>
      <c r="E23" s="72">
        <f>' РАСЧЕТЫ по ГРБС 2022'!BS22</f>
        <v>0.35</v>
      </c>
      <c r="F23" s="88"/>
      <c r="G23" s="71"/>
      <c r="H23" s="78">
        <f t="shared" si="0"/>
        <v>2.17</v>
      </c>
      <c r="I23" s="73">
        <v>11</v>
      </c>
      <c r="J23" s="75">
        <v>2.71</v>
      </c>
      <c r="K23" s="76">
        <f t="shared" si="1"/>
        <v>-0.54</v>
      </c>
      <c r="L23" s="62">
        <v>621</v>
      </c>
      <c r="N23" s="77" t="s">
        <v>78</v>
      </c>
      <c r="O23" s="15">
        <v>611</v>
      </c>
      <c r="P23" s="47">
        <v>621</v>
      </c>
      <c r="Q23" s="74" t="s">
        <v>80</v>
      </c>
      <c r="R23" s="74">
        <v>602</v>
      </c>
      <c r="T23" s="61" t="s">
        <v>80</v>
      </c>
      <c r="U23" s="61">
        <v>617</v>
      </c>
      <c r="V23" s="61" t="s">
        <v>42</v>
      </c>
      <c r="W23" s="61">
        <v>2.72</v>
      </c>
    </row>
    <row r="24" spans="1:23" ht="32.25" customHeight="1">
      <c r="A24" s="47">
        <v>624</v>
      </c>
      <c r="B24" s="15" t="s">
        <v>40</v>
      </c>
      <c r="C24" s="72">
        <f>' РАСЧЕТЫ по ГРБС 2022'!BX4</f>
        <v>0.52</v>
      </c>
      <c r="D24" s="72">
        <f>' РАСЧЕТЫ по ГРБС 2022'!BX10</f>
        <v>1.36</v>
      </c>
      <c r="E24" s="72">
        <f>' РАСЧЕТЫ по ГРБС 2022'!BX22</f>
        <v>0.41</v>
      </c>
      <c r="F24" s="71"/>
      <c r="G24" s="68">
        <f>' РАСЧЕТЫ по ГРБС 2022'!BX31</f>
        <v>0.5</v>
      </c>
      <c r="H24" s="89">
        <f t="shared" si="0"/>
        <v>2.79</v>
      </c>
      <c r="I24" s="73">
        <v>16</v>
      </c>
      <c r="J24" s="75">
        <v>3.17</v>
      </c>
      <c r="K24" s="76">
        <f t="shared" si="1"/>
        <v>-0.37999999999999989</v>
      </c>
      <c r="L24" s="62">
        <v>624</v>
      </c>
      <c r="N24" s="77" t="s">
        <v>80</v>
      </c>
      <c r="O24" s="15">
        <v>602</v>
      </c>
      <c r="P24" s="47">
        <v>624</v>
      </c>
      <c r="Q24" s="74" t="s">
        <v>81</v>
      </c>
      <c r="R24" s="74">
        <v>619</v>
      </c>
      <c r="T24" s="61" t="s">
        <v>81</v>
      </c>
      <c r="U24" s="61">
        <v>602</v>
      </c>
      <c r="V24" s="61" t="s">
        <v>53</v>
      </c>
      <c r="W24" s="61">
        <v>2.5500000000000003</v>
      </c>
    </row>
    <row r="25" spans="1:23" ht="32.25" customHeight="1">
      <c r="A25" s="15">
        <v>643</v>
      </c>
      <c r="B25" s="15" t="s">
        <v>52</v>
      </c>
      <c r="C25" s="70">
        <f>' РАСЧЕТЫ по ГРБС 2022'!CC4</f>
        <v>0.93</v>
      </c>
      <c r="D25" s="69">
        <f>' РАСЧЕТЫ по ГРБС 2022'!CC10</f>
        <v>1.58</v>
      </c>
      <c r="E25" s="70">
        <f>' РАСЧЕТЫ по ГРБС 2022'!CC22</f>
        <v>0.71</v>
      </c>
      <c r="F25" s="71"/>
      <c r="G25" s="71"/>
      <c r="H25" s="69">
        <f t="shared" si="0"/>
        <v>3.22</v>
      </c>
      <c r="I25" s="73">
        <v>2</v>
      </c>
      <c r="J25" s="75"/>
      <c r="K25" s="76"/>
      <c r="L25" s="62"/>
      <c r="N25" s="77"/>
      <c r="O25" s="15"/>
      <c r="P25" s="47">
        <v>643</v>
      </c>
      <c r="Q25" s="74" t="s">
        <v>82</v>
      </c>
      <c r="R25" s="74">
        <v>624</v>
      </c>
      <c r="T25" s="61" t="s">
        <v>82</v>
      </c>
      <c r="U25" s="61">
        <v>621</v>
      </c>
      <c r="V25" s="61" t="s">
        <v>54</v>
      </c>
      <c r="W25" s="61">
        <v>2.23</v>
      </c>
    </row>
    <row r="26" spans="1:23" s="90" customFormat="1">
      <c r="B26" s="91" t="s">
        <v>23</v>
      </c>
      <c r="C26" s="92">
        <f>SUM(C10:C25)</f>
        <v>12.27</v>
      </c>
      <c r="D26" s="92">
        <f t="shared" ref="D26:H26" si="2">SUM(D10:D25)</f>
        <v>29.719999999999992</v>
      </c>
      <c r="E26" s="92">
        <f t="shared" si="2"/>
        <v>8.35</v>
      </c>
      <c r="F26" s="92">
        <f t="shared" si="2"/>
        <v>2.11</v>
      </c>
      <c r="G26" s="92">
        <f t="shared" si="2"/>
        <v>3.3899999999999997</v>
      </c>
      <c r="H26" s="92">
        <f t="shared" si="2"/>
        <v>55.839999999999989</v>
      </c>
      <c r="I26" s="92"/>
    </row>
    <row r="27" spans="1:23" s="90" customFormat="1">
      <c r="B27" s="91" t="s">
        <v>24</v>
      </c>
      <c r="C27" s="92">
        <f>ROUND(C26/16,2)</f>
        <v>0.77</v>
      </c>
      <c r="D27" s="92">
        <f>ROUND(D26/16,2)</f>
        <v>1.86</v>
      </c>
      <c r="E27" s="92">
        <f t="shared" ref="E27:H27" si="3">ROUND(E26/16,2)</f>
        <v>0.52</v>
      </c>
      <c r="F27" s="92">
        <f t="shared" si="3"/>
        <v>0.13</v>
      </c>
      <c r="G27" s="92">
        <f t="shared" si="3"/>
        <v>0.21</v>
      </c>
      <c r="H27" s="92">
        <f t="shared" si="3"/>
        <v>3.49</v>
      </c>
      <c r="I27" s="92"/>
      <c r="J27" s="75" t="e">
        <v>#N/A</v>
      </c>
      <c r="V27" s="90" t="s">
        <v>23</v>
      </c>
      <c r="W27" s="90">
        <v>54.61999999999999</v>
      </c>
    </row>
    <row r="28" spans="1:23">
      <c r="V28" s="61" t="s">
        <v>24</v>
      </c>
      <c r="W28" s="92">
        <f>ROUND(W27/16,2)</f>
        <v>3.41</v>
      </c>
    </row>
    <row r="30" spans="1:23">
      <c r="B30" s="56" t="s">
        <v>25</v>
      </c>
      <c r="C30" s="57"/>
    </row>
    <row r="31" spans="1:23">
      <c r="B31" s="56" t="s">
        <v>26</v>
      </c>
      <c r="C31" s="58"/>
    </row>
    <row r="32" spans="1:23">
      <c r="B32" s="56" t="s">
        <v>27</v>
      </c>
      <c r="C32" s="59"/>
    </row>
    <row r="33" spans="2:4">
      <c r="B33" s="56" t="s">
        <v>28</v>
      </c>
      <c r="C33" s="60"/>
    </row>
    <row r="35" spans="2:4" hidden="1"/>
    <row r="36" spans="2:4" hidden="1"/>
    <row r="37" spans="2:4" hidden="1"/>
    <row r="38" spans="2:4" hidden="1">
      <c r="B38" s="47">
        <v>609</v>
      </c>
      <c r="C38" s="93">
        <v>4.5600000000000005</v>
      </c>
      <c r="D38" s="61">
        <v>1</v>
      </c>
    </row>
    <row r="39" spans="2:4" hidden="1">
      <c r="B39" s="47">
        <v>604</v>
      </c>
      <c r="C39" s="93">
        <v>4.47</v>
      </c>
      <c r="D39" s="61">
        <v>2</v>
      </c>
    </row>
    <row r="40" spans="2:4" hidden="1">
      <c r="B40" s="47">
        <v>605</v>
      </c>
      <c r="C40" s="93">
        <v>4.3100000000000005</v>
      </c>
      <c r="D40" s="61">
        <v>3</v>
      </c>
    </row>
    <row r="41" spans="2:4" hidden="1">
      <c r="B41" s="47">
        <v>617</v>
      </c>
      <c r="C41" s="93">
        <v>3.7699999999999996</v>
      </c>
      <c r="D41" s="61">
        <v>4</v>
      </c>
    </row>
    <row r="42" spans="2:4" hidden="1">
      <c r="B42" s="67">
        <v>601</v>
      </c>
      <c r="C42" s="93">
        <v>3.6400000000000006</v>
      </c>
      <c r="D42" s="61">
        <v>5</v>
      </c>
    </row>
    <row r="43" spans="2:4" hidden="1">
      <c r="B43" s="47">
        <v>606</v>
      </c>
      <c r="C43" s="93">
        <v>3.5400000000000005</v>
      </c>
      <c r="D43" s="61">
        <v>6</v>
      </c>
    </row>
    <row r="44" spans="2:4" hidden="1">
      <c r="B44" s="47">
        <v>607</v>
      </c>
      <c r="C44" s="93">
        <v>3.5300000000000007</v>
      </c>
      <c r="D44" s="61">
        <v>7</v>
      </c>
    </row>
    <row r="45" spans="2:4" hidden="1">
      <c r="B45" s="47">
        <v>618</v>
      </c>
      <c r="C45" s="93">
        <v>3.3</v>
      </c>
      <c r="D45" s="61">
        <v>8</v>
      </c>
    </row>
    <row r="46" spans="2:4" hidden="1">
      <c r="B46" s="47">
        <v>619</v>
      </c>
      <c r="C46" s="93">
        <v>3.24</v>
      </c>
      <c r="D46" s="61">
        <v>9</v>
      </c>
    </row>
    <row r="47" spans="2:4" hidden="1">
      <c r="B47" s="47">
        <v>624</v>
      </c>
      <c r="C47" s="93">
        <v>3.17</v>
      </c>
      <c r="D47" s="61">
        <v>10</v>
      </c>
    </row>
    <row r="48" spans="2:4" hidden="1">
      <c r="B48" s="47">
        <v>621</v>
      </c>
      <c r="C48" s="93">
        <v>2.71</v>
      </c>
      <c r="D48" s="61">
        <v>11</v>
      </c>
    </row>
    <row r="49" spans="2:8" hidden="1">
      <c r="B49" s="47">
        <v>620</v>
      </c>
      <c r="C49" s="93">
        <v>2.6700000000000004</v>
      </c>
      <c r="D49" s="61">
        <v>12</v>
      </c>
    </row>
    <row r="50" spans="2:8" hidden="1">
      <c r="B50" s="47">
        <v>611</v>
      </c>
      <c r="C50" s="93">
        <v>2.58</v>
      </c>
      <c r="D50" s="61">
        <v>13</v>
      </c>
    </row>
    <row r="51" spans="2:8" hidden="1">
      <c r="B51" s="47">
        <v>602</v>
      </c>
      <c r="C51" s="93">
        <v>1.93</v>
      </c>
      <c r="D51" s="61">
        <v>14</v>
      </c>
    </row>
    <row r="52" spans="2:8" hidden="1">
      <c r="C52" s="56" t="s">
        <v>68</v>
      </c>
      <c r="D52" s="61">
        <v>11</v>
      </c>
      <c r="E52" s="61">
        <v>23</v>
      </c>
      <c r="F52" s="61">
        <v>29</v>
      </c>
      <c r="G52" s="61">
        <v>33</v>
      </c>
    </row>
    <row r="53" spans="2:8" hidden="1"/>
    <row r="54" spans="2:8" hidden="1">
      <c r="C54" s="94">
        <f>MIN(C10:C25)</f>
        <v>0.51</v>
      </c>
      <c r="D54" s="94">
        <f>MIN(D10:D25)</f>
        <v>1.24</v>
      </c>
      <c r="E54" s="94">
        <f>MIN(E10:E25)</f>
        <v>0.3</v>
      </c>
      <c r="F54" s="94">
        <f>MIN(F10:F25)</f>
        <v>0.4</v>
      </c>
      <c r="G54" s="94">
        <f t="shared" ref="G54:H54" si="4">MIN(G10:G25)</f>
        <v>0.5</v>
      </c>
      <c r="H54" s="94">
        <f t="shared" si="4"/>
        <v>2.17</v>
      </c>
    </row>
    <row r="55" spans="2:8" hidden="1">
      <c r="C55" s="94">
        <f>MAX(C10:C25)</f>
        <v>1.0900000000000001</v>
      </c>
      <c r="D55" s="94">
        <f t="shared" ref="D55:E55" si="5">MAX(D10:D25)</f>
        <v>2.4900000000000002</v>
      </c>
      <c r="E55" s="94">
        <f t="shared" si="5"/>
        <v>0.71</v>
      </c>
      <c r="F55" s="94">
        <f t="shared" ref="F55:H55" si="6">MAX(F10:F25)</f>
        <v>1.1100000000000001</v>
      </c>
      <c r="G55" s="94">
        <f t="shared" si="6"/>
        <v>0.63</v>
      </c>
      <c r="H55" s="94">
        <f t="shared" si="6"/>
        <v>4.42</v>
      </c>
    </row>
    <row r="56" spans="2:8" hidden="1">
      <c r="C56" s="94"/>
      <c r="D56" s="94"/>
      <c r="E56" s="94"/>
      <c r="F56" s="94"/>
    </row>
    <row r="57" spans="2:8" hidden="1">
      <c r="C57" s="94"/>
      <c r="D57" s="94"/>
      <c r="E57" s="94"/>
      <c r="F57" s="94"/>
    </row>
    <row r="58" spans="2:8" hidden="1">
      <c r="C58" s="94"/>
      <c r="D58" s="94"/>
      <c r="E58" s="94"/>
      <c r="F58" s="94"/>
    </row>
    <row r="59" spans="2:8" hidden="1">
      <c r="C59" s="94"/>
      <c r="D59" s="94"/>
      <c r="E59" s="94"/>
      <c r="F59" s="94"/>
    </row>
    <row r="60" spans="2:8" hidden="1"/>
    <row r="61" spans="2:8" hidden="1"/>
    <row r="62" spans="2:8" hidden="1"/>
    <row r="63" spans="2:8" hidden="1"/>
    <row r="64" spans="2:8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</sheetData>
  <mergeCells count="15">
    <mergeCell ref="A1:I1"/>
    <mergeCell ref="A2:I2"/>
    <mergeCell ref="A3:I3"/>
    <mergeCell ref="B4:H4"/>
    <mergeCell ref="A5:A8"/>
    <mergeCell ref="B5:B8"/>
    <mergeCell ref="C5:G5"/>
    <mergeCell ref="H5:H8"/>
    <mergeCell ref="I5:I8"/>
    <mergeCell ref="J5:J8"/>
    <mergeCell ref="C6:C8"/>
    <mergeCell ref="D6:D8"/>
    <mergeCell ref="E6:E8"/>
    <mergeCell ref="F6:F8"/>
    <mergeCell ref="G6:G8"/>
  </mergeCells>
  <pageMargins left="0.47244094488188981" right="3.937007874015748E-2" top="0.47244094488188981" bottom="0.15748031496062992" header="0.15748031496062992" footer="0.15748031496062992"/>
  <pageSetup paperSize="8" scale="110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28">
    <tabColor rgb="FF00B050"/>
  </sheetPr>
  <dimension ref="A1:M19"/>
  <sheetViews>
    <sheetView topLeftCell="A7" workbookViewId="0">
      <selection activeCell="S23" activeCellId="1" sqref="A6:E21 S23"/>
    </sheetView>
  </sheetViews>
  <sheetFormatPr defaultColWidth="9.140625" defaultRowHeight="15"/>
  <cols>
    <col min="1" max="1" width="8.42578125" style="46" customWidth="1"/>
    <col min="2" max="2" width="41.140625" style="3" customWidth="1"/>
    <col min="3" max="3" width="24.85546875" style="3" customWidth="1"/>
    <col min="4" max="4" width="26.140625" style="3" customWidth="1"/>
    <col min="5" max="5" width="13.28515625" style="3" bestFit="1" customWidth="1"/>
    <col min="6" max="6" width="13.140625" style="3" customWidth="1"/>
    <col min="7" max="16384" width="9.140625" style="3"/>
  </cols>
  <sheetData>
    <row r="1" spans="1:13" s="178" customFormat="1" ht="65.25" customHeight="1">
      <c r="A1" s="447" t="s">
        <v>128</v>
      </c>
      <c r="B1" s="447"/>
      <c r="C1" s="447"/>
      <c r="D1" s="447"/>
      <c r="E1" s="447"/>
      <c r="F1" s="447"/>
    </row>
    <row r="2" spans="1:13" ht="65.25" customHeight="1">
      <c r="A2" s="448" t="s">
        <v>129</v>
      </c>
      <c r="B2" s="448"/>
      <c r="C2" s="448"/>
      <c r="D2" s="448"/>
      <c r="E2" s="448"/>
      <c r="F2" s="448"/>
    </row>
    <row r="3" spans="1:13" ht="30">
      <c r="C3" s="46" t="s">
        <v>197</v>
      </c>
      <c r="D3" s="46" t="s">
        <v>197</v>
      </c>
      <c r="E3" s="46"/>
    </row>
    <row r="5" spans="1:13" ht="210">
      <c r="A5" s="47" t="s">
        <v>35</v>
      </c>
      <c r="B5" s="47" t="s">
        <v>2</v>
      </c>
      <c r="C5" s="47" t="s">
        <v>241</v>
      </c>
      <c r="D5" s="47" t="s">
        <v>242</v>
      </c>
      <c r="E5" s="47" t="s">
        <v>243</v>
      </c>
      <c r="F5" s="47" t="s">
        <v>139</v>
      </c>
    </row>
    <row r="6" spans="1:13">
      <c r="A6" s="52">
        <v>601</v>
      </c>
      <c r="B6" s="52" t="s">
        <v>13</v>
      </c>
      <c r="C6" s="282"/>
      <c r="D6" s="282"/>
      <c r="E6" s="282"/>
      <c r="F6" s="282"/>
    </row>
    <row r="7" spans="1:13" ht="30">
      <c r="A7" s="15">
        <v>602</v>
      </c>
      <c r="B7" s="15" t="s">
        <v>53</v>
      </c>
      <c r="C7" s="282"/>
      <c r="D7" s="282"/>
      <c r="E7" s="282"/>
      <c r="F7" s="282"/>
    </row>
    <row r="8" spans="1:13" ht="30">
      <c r="A8" s="15">
        <v>604</v>
      </c>
      <c r="B8" s="15" t="s">
        <v>49</v>
      </c>
      <c r="C8" s="282"/>
      <c r="D8" s="282"/>
      <c r="E8" s="282"/>
      <c r="F8" s="282"/>
    </row>
    <row r="9" spans="1:13" ht="45">
      <c r="A9" s="15">
        <v>605</v>
      </c>
      <c r="B9" s="15" t="s">
        <v>45</v>
      </c>
      <c r="C9" s="400"/>
      <c r="D9" s="400"/>
      <c r="E9" s="400"/>
      <c r="F9" s="400"/>
    </row>
    <row r="10" spans="1:13" ht="30">
      <c r="A10" s="193">
        <v>606</v>
      </c>
      <c r="B10" s="242" t="s">
        <v>46</v>
      </c>
      <c r="C10" s="201">
        <v>8</v>
      </c>
      <c r="D10" s="201">
        <v>8</v>
      </c>
      <c r="E10" s="201">
        <v>100</v>
      </c>
      <c r="F10" s="201">
        <v>5</v>
      </c>
      <c r="J10" s="215">
        <v>7</v>
      </c>
      <c r="K10" s="215">
        <v>7</v>
      </c>
      <c r="L10" s="215">
        <f t="shared" ref="L10:L17" si="0">ROUND(J10/K10*100,2)</f>
        <v>100</v>
      </c>
      <c r="M10" s="215">
        <v>5</v>
      </c>
    </row>
    <row r="11" spans="1:13" ht="30">
      <c r="A11" s="193">
        <v>607</v>
      </c>
      <c r="B11" s="242" t="s">
        <v>50</v>
      </c>
      <c r="C11" s="201">
        <v>10</v>
      </c>
      <c r="D11" s="201">
        <v>10</v>
      </c>
      <c r="E11" s="201">
        <v>100</v>
      </c>
      <c r="F11" s="201">
        <v>5</v>
      </c>
      <c r="J11" s="215">
        <v>8</v>
      </c>
      <c r="K11" s="215">
        <v>8</v>
      </c>
      <c r="L11" s="215">
        <f t="shared" si="0"/>
        <v>100</v>
      </c>
      <c r="M11" s="215">
        <v>5</v>
      </c>
    </row>
    <row r="12" spans="1:13" ht="45">
      <c r="A12" s="15">
        <v>609</v>
      </c>
      <c r="B12" s="15" t="s">
        <v>37</v>
      </c>
      <c r="C12" s="401"/>
      <c r="D12" s="401"/>
      <c r="E12" s="401"/>
      <c r="F12" s="401"/>
      <c r="J12" s="262"/>
      <c r="K12" s="262"/>
      <c r="L12" s="262"/>
      <c r="M12" s="262"/>
    </row>
    <row r="13" spans="1:13" ht="30">
      <c r="A13" s="193">
        <v>611</v>
      </c>
      <c r="B13" s="242" t="s">
        <v>47</v>
      </c>
      <c r="C13" s="241">
        <v>7</v>
      </c>
      <c r="D13" s="241">
        <v>7</v>
      </c>
      <c r="E13" s="241">
        <v>100</v>
      </c>
      <c r="F13" s="241">
        <v>5</v>
      </c>
      <c r="J13" s="215">
        <v>7</v>
      </c>
      <c r="K13" s="215">
        <v>7</v>
      </c>
      <c r="L13" s="215">
        <f t="shared" si="0"/>
        <v>100</v>
      </c>
      <c r="M13" s="215">
        <v>5</v>
      </c>
    </row>
    <row r="14" spans="1:13" ht="30">
      <c r="A14" s="15">
        <v>617</v>
      </c>
      <c r="B14" s="15" t="s">
        <v>42</v>
      </c>
      <c r="C14" s="402"/>
      <c r="D14" s="402"/>
      <c r="E14" s="402"/>
      <c r="F14" s="402"/>
      <c r="J14" s="282"/>
      <c r="K14" s="282"/>
      <c r="L14" s="282"/>
      <c r="M14" s="282"/>
    </row>
    <row r="15" spans="1:13" ht="30">
      <c r="A15" s="15">
        <v>618</v>
      </c>
      <c r="B15" s="15" t="s">
        <v>38</v>
      </c>
      <c r="C15" s="282"/>
      <c r="D15" s="282"/>
      <c r="E15" s="282"/>
      <c r="F15" s="282"/>
      <c r="J15" s="282"/>
      <c r="K15" s="282"/>
      <c r="L15" s="282"/>
      <c r="M15" s="282"/>
    </row>
    <row r="16" spans="1:13" ht="30">
      <c r="A16" s="15">
        <v>619</v>
      </c>
      <c r="B16" s="15" t="s">
        <v>44</v>
      </c>
      <c r="C16" s="282"/>
      <c r="D16" s="282"/>
      <c r="E16" s="282"/>
      <c r="F16" s="282"/>
      <c r="J16" s="282"/>
      <c r="K16" s="282"/>
      <c r="L16" s="282"/>
      <c r="M16" s="282"/>
    </row>
    <row r="17" spans="1:13" ht="30">
      <c r="A17" s="193">
        <v>620</v>
      </c>
      <c r="B17" s="193" t="s">
        <v>48</v>
      </c>
      <c r="C17" s="201">
        <v>122</v>
      </c>
      <c r="D17" s="201">
        <v>122</v>
      </c>
      <c r="E17" s="201">
        <f>ROUND(C17/D17*100,2)</f>
        <v>100</v>
      </c>
      <c r="F17" s="201">
        <v>5</v>
      </c>
      <c r="J17" s="403">
        <v>122</v>
      </c>
      <c r="K17" s="403">
        <v>122</v>
      </c>
      <c r="L17" s="403">
        <f t="shared" si="0"/>
        <v>100</v>
      </c>
      <c r="M17" s="403">
        <v>5</v>
      </c>
    </row>
    <row r="18" spans="1:13" ht="30">
      <c r="A18" s="15">
        <v>621</v>
      </c>
      <c r="B18" s="15" t="s">
        <v>54</v>
      </c>
      <c r="C18" s="282"/>
      <c r="D18" s="282"/>
      <c r="E18" s="282"/>
      <c r="F18" s="282"/>
    </row>
    <row r="19" spans="1:13" ht="45">
      <c r="A19" s="15">
        <v>624</v>
      </c>
      <c r="B19" s="15" t="s">
        <v>40</v>
      </c>
      <c r="C19" s="282"/>
      <c r="D19" s="282"/>
      <c r="E19" s="282"/>
      <c r="F19" s="282"/>
    </row>
  </sheetData>
  <sheetProtection formatCells="0" formatColumns="0" formatRows="0" insertColumns="0" insertRows="0" insertHyperlinks="0" deleteColumns="0" deleteRows="0" sort="0" autoFilter="0" pivotTables="0"/>
  <mergeCells count="2">
    <mergeCell ref="A1:F1"/>
    <mergeCell ref="A2:F2"/>
  </mergeCells>
  <pageMargins left="0.51181102362204722" right="0.19685039370078738" top="0.74803149606299213" bottom="0.74803149606299213" header="0.31496062992125984" footer="0.31496062992125984"/>
  <pageSetup paperSize="9" scale="75" orientation="portrait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31">
    <tabColor rgb="FF00B050"/>
  </sheetPr>
  <dimension ref="A1:K19"/>
  <sheetViews>
    <sheetView topLeftCell="A4" workbookViewId="0">
      <selection activeCell="S23" activeCellId="1" sqref="A6:E21 S23"/>
    </sheetView>
  </sheetViews>
  <sheetFormatPr defaultColWidth="9.140625" defaultRowHeight="15"/>
  <cols>
    <col min="1" max="1" width="8.42578125" style="46" customWidth="1"/>
    <col min="2" max="2" width="41.140625" style="3" customWidth="1"/>
    <col min="3" max="3" width="24.85546875" style="3" customWidth="1"/>
    <col min="4" max="4" width="26.140625" style="3" customWidth="1"/>
    <col min="5" max="5" width="13.140625" style="3" customWidth="1"/>
    <col min="6" max="16384" width="9.140625" style="3"/>
  </cols>
  <sheetData>
    <row r="1" spans="1:11" s="178" customFormat="1" ht="65.25" customHeight="1">
      <c r="A1" s="447" t="s">
        <v>128</v>
      </c>
      <c r="B1" s="447"/>
      <c r="C1" s="447"/>
      <c r="D1" s="447"/>
      <c r="E1" s="447"/>
    </row>
    <row r="2" spans="1:11" ht="123" customHeight="1">
      <c r="A2" s="448" t="s">
        <v>130</v>
      </c>
      <c r="B2" s="448"/>
      <c r="C2" s="448"/>
      <c r="D2" s="448"/>
      <c r="E2" s="448"/>
    </row>
    <row r="3" spans="1:11" ht="30">
      <c r="C3" s="46" t="s">
        <v>197</v>
      </c>
      <c r="D3" s="46" t="s">
        <v>197</v>
      </c>
    </row>
    <row r="5" spans="1:11" ht="105">
      <c r="A5" s="47" t="s">
        <v>35</v>
      </c>
      <c r="B5" s="47" t="s">
        <v>2</v>
      </c>
      <c r="C5" s="47" t="s">
        <v>244</v>
      </c>
      <c r="D5" s="47" t="s">
        <v>245</v>
      </c>
      <c r="E5" s="47" t="s">
        <v>139</v>
      </c>
    </row>
    <row r="6" spans="1:11">
      <c r="A6" s="52">
        <v>601</v>
      </c>
      <c r="B6" s="52" t="s">
        <v>13</v>
      </c>
      <c r="C6" s="404" t="s">
        <v>184</v>
      </c>
      <c r="D6" s="49"/>
      <c r="E6" s="49">
        <v>5</v>
      </c>
      <c r="I6" s="404" t="s">
        <v>184</v>
      </c>
      <c r="J6" s="49"/>
      <c r="K6" s="49">
        <v>5</v>
      </c>
    </row>
    <row r="7" spans="1:11" ht="30">
      <c r="A7" s="15">
        <v>602</v>
      </c>
      <c r="B7" s="15" t="s">
        <v>53</v>
      </c>
      <c r="C7" s="282"/>
      <c r="D7" s="282"/>
      <c r="E7" s="282"/>
      <c r="I7" s="282"/>
      <c r="J7" s="282"/>
      <c r="K7" s="282"/>
    </row>
    <row r="8" spans="1:11" ht="30">
      <c r="A8" s="15">
        <v>604</v>
      </c>
      <c r="B8" s="15" t="s">
        <v>49</v>
      </c>
      <c r="C8" s="282"/>
      <c r="D8" s="282"/>
      <c r="E8" s="282"/>
      <c r="I8" s="282"/>
      <c r="J8" s="282"/>
      <c r="K8" s="282"/>
    </row>
    <row r="9" spans="1:11" ht="45">
      <c r="A9" s="15">
        <v>605</v>
      </c>
      <c r="B9" s="15" t="s">
        <v>45</v>
      </c>
      <c r="C9" s="400"/>
      <c r="D9" s="400"/>
      <c r="E9" s="400"/>
      <c r="I9" s="282"/>
      <c r="J9" s="282"/>
      <c r="K9" s="282"/>
    </row>
    <row r="10" spans="1:11" ht="30">
      <c r="A10" s="193">
        <v>606</v>
      </c>
      <c r="B10" s="242" t="s">
        <v>46</v>
      </c>
      <c r="C10" s="405" t="s">
        <v>184</v>
      </c>
      <c r="D10" s="405"/>
      <c r="E10" s="241">
        <v>5</v>
      </c>
      <c r="I10" s="406"/>
      <c r="J10" s="404" t="s">
        <v>184</v>
      </c>
      <c r="K10" s="49">
        <v>0</v>
      </c>
    </row>
    <row r="11" spans="1:11" ht="30">
      <c r="A11" s="193">
        <v>607</v>
      </c>
      <c r="B11" s="242" t="s">
        <v>50</v>
      </c>
      <c r="C11" s="405" t="s">
        <v>184</v>
      </c>
      <c r="D11" s="405"/>
      <c r="E11" s="241">
        <v>5</v>
      </c>
      <c r="I11" s="406"/>
      <c r="J11" s="404" t="s">
        <v>184</v>
      </c>
      <c r="K11" s="49">
        <v>0</v>
      </c>
    </row>
    <row r="12" spans="1:11" ht="45">
      <c r="A12" s="15">
        <v>609</v>
      </c>
      <c r="B12" s="15" t="s">
        <v>37</v>
      </c>
      <c r="C12" s="402"/>
      <c r="D12" s="402"/>
      <c r="E12" s="402"/>
      <c r="I12" s="407"/>
      <c r="J12" s="282"/>
      <c r="K12" s="282"/>
    </row>
    <row r="13" spans="1:11" ht="30">
      <c r="A13" s="193">
        <v>611</v>
      </c>
      <c r="B13" s="193" t="s">
        <v>47</v>
      </c>
      <c r="C13" s="373" t="s">
        <v>184</v>
      </c>
      <c r="D13" s="373"/>
      <c r="E13" s="196">
        <v>5</v>
      </c>
      <c r="I13" s="406"/>
      <c r="J13" s="404" t="s">
        <v>184</v>
      </c>
      <c r="K13" s="49">
        <v>0</v>
      </c>
    </row>
    <row r="14" spans="1:11" ht="30">
      <c r="A14" s="15">
        <v>617</v>
      </c>
      <c r="B14" s="15" t="s">
        <v>42</v>
      </c>
      <c r="C14" s="206"/>
      <c r="D14" s="282"/>
      <c r="E14" s="282"/>
      <c r="I14" s="206"/>
      <c r="J14" s="282"/>
      <c r="K14" s="282"/>
    </row>
    <row r="15" spans="1:11" ht="30">
      <c r="A15" s="15">
        <v>618</v>
      </c>
      <c r="B15" s="15" t="s">
        <v>38</v>
      </c>
      <c r="C15" s="206"/>
      <c r="D15" s="282"/>
      <c r="E15" s="282"/>
      <c r="I15" s="206"/>
      <c r="J15" s="282"/>
      <c r="K15" s="282"/>
    </row>
    <row r="16" spans="1:11" ht="30">
      <c r="A16" s="15">
        <v>619</v>
      </c>
      <c r="B16" s="15" t="s">
        <v>44</v>
      </c>
      <c r="C16" s="206"/>
      <c r="D16" s="282"/>
      <c r="E16" s="282"/>
      <c r="I16" s="206"/>
      <c r="J16" s="282"/>
      <c r="K16" s="282"/>
    </row>
    <row r="17" spans="1:11" ht="30">
      <c r="A17" s="193">
        <v>620</v>
      </c>
      <c r="B17" s="193" t="s">
        <v>48</v>
      </c>
      <c r="C17" s="374" t="s">
        <v>184</v>
      </c>
      <c r="D17" s="201"/>
      <c r="E17" s="201">
        <v>5</v>
      </c>
      <c r="I17" s="408" t="s">
        <v>184</v>
      </c>
      <c r="J17" s="49"/>
      <c r="K17" s="49">
        <v>5</v>
      </c>
    </row>
    <row r="18" spans="1:11" ht="30">
      <c r="A18" s="15">
        <v>621</v>
      </c>
      <c r="B18" s="15" t="s">
        <v>54</v>
      </c>
      <c r="C18" s="282"/>
      <c r="D18" s="282"/>
      <c r="E18" s="282"/>
      <c r="I18" s="282"/>
      <c r="J18" s="282"/>
      <c r="K18" s="282"/>
    </row>
    <row r="19" spans="1:11" ht="45">
      <c r="A19" s="193">
        <v>624</v>
      </c>
      <c r="B19" s="193" t="s">
        <v>40</v>
      </c>
      <c r="C19" s="374" t="s">
        <v>184</v>
      </c>
      <c r="D19" s="201"/>
      <c r="E19" s="201">
        <v>5</v>
      </c>
      <c r="I19" s="408" t="s">
        <v>184</v>
      </c>
      <c r="J19" s="409"/>
      <c r="K19" s="49">
        <v>5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E1"/>
    <mergeCell ref="A2:E2"/>
  </mergeCells>
  <pageMargins left="0.51181102362204722" right="0.19685039370078738" top="0.74803149606299213" bottom="0.74803149606299213" header="0.31496062992125984" footer="0.31496062992125984"/>
  <pageSetup paperSize="9" scale="75" orientation="portrait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32">
    <tabColor indexed="2"/>
  </sheetPr>
  <dimension ref="A1:L19"/>
  <sheetViews>
    <sheetView topLeftCell="A4" workbookViewId="0">
      <selection activeCell="S23" activeCellId="1" sqref="A6:E21 S23"/>
    </sheetView>
  </sheetViews>
  <sheetFormatPr defaultColWidth="9.140625" defaultRowHeight="15"/>
  <cols>
    <col min="1" max="1" width="8.42578125" style="46" customWidth="1"/>
    <col min="2" max="2" width="41.140625" style="3" customWidth="1"/>
    <col min="3" max="3" width="24.85546875" style="4" customWidth="1"/>
    <col min="4" max="4" width="26.140625" style="4" customWidth="1"/>
    <col min="5" max="5" width="16.42578125" style="3" customWidth="1"/>
    <col min="6" max="6" width="13.140625" style="3" customWidth="1"/>
    <col min="7" max="8" width="9.140625" style="3"/>
    <col min="9" max="9" width="11.5703125" style="3" bestFit="1" customWidth="1"/>
    <col min="10" max="10" width="15.28515625" style="3" bestFit="1" customWidth="1"/>
    <col min="11" max="16384" width="9.140625" style="3"/>
  </cols>
  <sheetData>
    <row r="1" spans="1:12" s="178" customFormat="1" ht="65.25" customHeight="1">
      <c r="A1" s="447" t="s">
        <v>128</v>
      </c>
      <c r="B1" s="447"/>
      <c r="C1" s="447"/>
      <c r="D1" s="447"/>
      <c r="E1" s="447"/>
      <c r="F1" s="447"/>
    </row>
    <row r="2" spans="1:12" ht="65.25" customHeight="1">
      <c r="A2" s="448" t="s">
        <v>131</v>
      </c>
      <c r="B2" s="448"/>
      <c r="C2" s="448"/>
      <c r="D2" s="448"/>
      <c r="E2" s="448"/>
      <c r="F2" s="448"/>
    </row>
    <row r="3" spans="1:12" ht="30">
      <c r="C3" s="410" t="s">
        <v>197</v>
      </c>
      <c r="D3" s="410" t="s">
        <v>197</v>
      </c>
      <c r="E3" s="46"/>
    </row>
    <row r="5" spans="1:12" ht="150">
      <c r="A5" s="47" t="s">
        <v>35</v>
      </c>
      <c r="B5" s="47" t="s">
        <v>2</v>
      </c>
      <c r="C5" s="411" t="s">
        <v>246</v>
      </c>
      <c r="D5" s="411" t="s">
        <v>247</v>
      </c>
      <c r="E5" s="47" t="s">
        <v>248</v>
      </c>
      <c r="F5" s="47" t="s">
        <v>139</v>
      </c>
    </row>
    <row r="6" spans="1:12">
      <c r="A6" s="52">
        <v>601</v>
      </c>
      <c r="B6" s="52" t="s">
        <v>13</v>
      </c>
      <c r="C6" s="398"/>
      <c r="D6" s="398"/>
      <c r="E6" s="282"/>
      <c r="F6" s="282"/>
    </row>
    <row r="7" spans="1:12" ht="30">
      <c r="A7" s="15">
        <v>602</v>
      </c>
      <c r="B7" s="15" t="s">
        <v>53</v>
      </c>
      <c r="C7" s="398"/>
      <c r="D7" s="398"/>
      <c r="E7" s="282"/>
      <c r="F7" s="282"/>
    </row>
    <row r="8" spans="1:12" ht="30">
      <c r="A8" s="15">
        <v>604</v>
      </c>
      <c r="B8" s="15" t="s">
        <v>49</v>
      </c>
      <c r="C8" s="398"/>
      <c r="D8" s="398"/>
      <c r="E8" s="282"/>
      <c r="F8" s="282"/>
    </row>
    <row r="9" spans="1:12" ht="45">
      <c r="A9" s="15">
        <v>605</v>
      </c>
      <c r="B9" s="15" t="s">
        <v>45</v>
      </c>
      <c r="C9" s="412"/>
      <c r="D9" s="412"/>
      <c r="E9" s="400"/>
      <c r="F9" s="400"/>
    </row>
    <row r="10" spans="1:12" ht="30">
      <c r="A10" s="193">
        <v>606</v>
      </c>
      <c r="B10" s="242" t="s">
        <v>46</v>
      </c>
      <c r="C10" s="395">
        <v>56164014.18</v>
      </c>
      <c r="D10" s="395">
        <v>4986405163.2299995</v>
      </c>
      <c r="E10" s="241">
        <v>1.1299999999999999</v>
      </c>
      <c r="F10" s="241">
        <v>5</v>
      </c>
      <c r="I10" s="413">
        <v>1586493.86</v>
      </c>
      <c r="J10" s="413">
        <v>4159177483.9400001</v>
      </c>
      <c r="K10" s="272">
        <f t="shared" ref="K10:K17" si="0">ROUND(I10/J10*100,2)</f>
        <v>0.04</v>
      </c>
      <c r="L10" s="49">
        <v>5</v>
      </c>
    </row>
    <row r="11" spans="1:12" ht="30">
      <c r="A11" s="193">
        <v>607</v>
      </c>
      <c r="B11" s="242" t="s">
        <v>50</v>
      </c>
      <c r="C11" s="395">
        <v>630031.9</v>
      </c>
      <c r="D11" s="395">
        <v>508957750.80000001</v>
      </c>
      <c r="E11" s="241">
        <v>0.12</v>
      </c>
      <c r="F11" s="241">
        <v>5</v>
      </c>
      <c r="I11" s="413">
        <v>5670.37</v>
      </c>
      <c r="J11" s="413">
        <v>386231101.42000002</v>
      </c>
      <c r="K11" s="272">
        <f t="shared" si="0"/>
        <v>0</v>
      </c>
      <c r="L11" s="49">
        <v>5</v>
      </c>
    </row>
    <row r="12" spans="1:12" ht="45">
      <c r="A12" s="414">
        <v>609</v>
      </c>
      <c r="B12" s="414" t="s">
        <v>37</v>
      </c>
      <c r="C12" s="415"/>
      <c r="D12" s="415"/>
      <c r="E12" s="416"/>
      <c r="F12" s="416"/>
      <c r="I12" s="398"/>
      <c r="J12" s="398"/>
      <c r="K12" s="282"/>
      <c r="L12" s="282"/>
    </row>
    <row r="13" spans="1:12" ht="30">
      <c r="A13" s="367">
        <v>611</v>
      </c>
      <c r="B13" s="367" t="s">
        <v>47</v>
      </c>
      <c r="C13" s="241">
        <v>0</v>
      </c>
      <c r="D13" s="395">
        <v>203207129.05000001</v>
      </c>
      <c r="E13" s="241">
        <v>0</v>
      </c>
      <c r="F13" s="241">
        <v>5</v>
      </c>
      <c r="I13" s="413">
        <v>0</v>
      </c>
      <c r="J13" s="413">
        <v>177360800.66</v>
      </c>
      <c r="K13" s="272">
        <f t="shared" si="0"/>
        <v>0</v>
      </c>
      <c r="L13" s="49">
        <v>5</v>
      </c>
    </row>
    <row r="14" spans="1:12" ht="30">
      <c r="A14" s="52">
        <v>617</v>
      </c>
      <c r="B14" s="52" t="s">
        <v>42</v>
      </c>
      <c r="C14" s="417"/>
      <c r="D14" s="417"/>
      <c r="E14" s="402"/>
      <c r="F14" s="402"/>
      <c r="I14" s="398"/>
      <c r="J14" s="398"/>
      <c r="K14" s="282"/>
      <c r="L14" s="282"/>
    </row>
    <row r="15" spans="1:12" ht="30">
      <c r="A15" s="15">
        <v>618</v>
      </c>
      <c r="B15" s="15" t="s">
        <v>38</v>
      </c>
      <c r="C15" s="398"/>
      <c r="D15" s="398"/>
      <c r="E15" s="282"/>
      <c r="F15" s="282"/>
      <c r="I15" s="398"/>
      <c r="J15" s="398"/>
      <c r="K15" s="282"/>
      <c r="L15" s="282"/>
    </row>
    <row r="16" spans="1:12" ht="30">
      <c r="A16" s="15">
        <v>619</v>
      </c>
      <c r="B16" s="15" t="s">
        <v>44</v>
      </c>
      <c r="C16" s="398"/>
      <c r="D16" s="398"/>
      <c r="E16" s="282"/>
      <c r="F16" s="282"/>
      <c r="I16" s="398"/>
      <c r="J16" s="398"/>
      <c r="K16" s="282"/>
      <c r="L16" s="282"/>
    </row>
    <row r="17" spans="1:12" ht="30">
      <c r="A17" s="15">
        <v>620</v>
      </c>
      <c r="B17" s="15" t="s">
        <v>48</v>
      </c>
      <c r="C17" s="418">
        <v>0</v>
      </c>
      <c r="D17" s="419">
        <v>113951828.37</v>
      </c>
      <c r="E17" s="272">
        <f>ROUND(C17/D17*100,2)</f>
        <v>0</v>
      </c>
      <c r="F17" s="162">
        <v>5</v>
      </c>
      <c r="I17" s="418">
        <v>350000</v>
      </c>
      <c r="J17" s="418">
        <v>129164987.92</v>
      </c>
      <c r="K17" s="420">
        <f t="shared" si="0"/>
        <v>0.27</v>
      </c>
      <c r="L17" s="162">
        <v>5</v>
      </c>
    </row>
    <row r="18" spans="1:12" ht="30">
      <c r="A18" s="15">
        <v>621</v>
      </c>
      <c r="B18" s="15" t="s">
        <v>54</v>
      </c>
      <c r="C18" s="398"/>
      <c r="D18" s="398"/>
      <c r="E18" s="282"/>
      <c r="F18" s="282"/>
    </row>
    <row r="19" spans="1:12" ht="45">
      <c r="A19" s="15">
        <v>624</v>
      </c>
      <c r="B19" s="15" t="s">
        <v>40</v>
      </c>
      <c r="C19" s="398"/>
      <c r="D19" s="398"/>
      <c r="E19" s="282"/>
      <c r="F19" s="282"/>
    </row>
  </sheetData>
  <sheetProtection formatCells="0" formatColumns="0" formatRows="0" insertColumns="0" insertRows="0" insertHyperlinks="0" deleteColumns="0" deleteRows="0" sort="0" autoFilter="0" pivotTables="0"/>
  <mergeCells count="2">
    <mergeCell ref="A1:F1"/>
    <mergeCell ref="A2:F2"/>
  </mergeCells>
  <pageMargins left="0.51181102362204722" right="0.19685039370078738" top="0.74803149606299213" bottom="0.74803149606299213" header="0.31496062992125984" footer="0.31496062992125984"/>
  <pageSetup paperSize="9" scale="74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indexed="2"/>
  </sheetPr>
  <dimension ref="A1:N30"/>
  <sheetViews>
    <sheetView topLeftCell="A4" workbookViewId="0">
      <selection activeCell="D13" sqref="D13"/>
    </sheetView>
  </sheetViews>
  <sheetFormatPr defaultRowHeight="15.75"/>
  <cols>
    <col min="1" max="1" width="57.42578125" style="56" customWidth="1"/>
    <col min="2" max="2" width="15" style="56" customWidth="1"/>
    <col min="3" max="3" width="13.28515625" style="61" customWidth="1"/>
    <col min="4" max="4" width="13.42578125" style="61" customWidth="1"/>
    <col min="5" max="5" width="13" style="61" customWidth="1"/>
    <col min="6" max="6" width="11.5703125" style="61" customWidth="1"/>
    <col min="7" max="7" width="19.85546875" style="61" customWidth="1"/>
    <col min="8" max="8" width="17.5703125" style="61" customWidth="1"/>
    <col min="9" max="9" width="16.5703125" style="62" customWidth="1"/>
    <col min="10" max="10" width="13.42578125" style="62" customWidth="1"/>
    <col min="11" max="11" width="18.5703125" style="62" customWidth="1"/>
    <col min="12" max="12" width="11.42578125" style="61" customWidth="1"/>
    <col min="13" max="13" width="18.5703125" style="62" customWidth="1"/>
    <col min="14" max="14" width="9.140625" style="62"/>
    <col min="15" max="16384" width="9.140625" style="61"/>
  </cols>
  <sheetData>
    <row r="1" spans="1:14" ht="18.95" customHeight="1">
      <c r="A1" s="439" t="s">
        <v>83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</row>
    <row r="2" spans="1:14" ht="18.95" customHeight="1">
      <c r="A2" s="433"/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</row>
    <row r="3" spans="1:14" s="63" customFormat="1">
      <c r="A3" s="434"/>
      <c r="B3" s="434"/>
      <c r="C3" s="434"/>
      <c r="D3" s="434"/>
      <c r="E3" s="434"/>
      <c r="F3" s="434"/>
      <c r="G3" s="434"/>
      <c r="H3" s="434"/>
      <c r="I3" s="434"/>
      <c r="J3" s="64"/>
      <c r="K3" s="64"/>
      <c r="M3" s="64"/>
      <c r="N3" s="64"/>
    </row>
    <row r="4" spans="1:14" ht="15.75" customHeight="1">
      <c r="A4" s="436" t="s">
        <v>57</v>
      </c>
      <c r="B4" s="437" t="s">
        <v>58</v>
      </c>
      <c r="C4" s="437"/>
      <c r="D4" s="437"/>
      <c r="E4" s="437"/>
      <c r="F4" s="437"/>
      <c r="G4" s="437"/>
      <c r="H4" s="437"/>
      <c r="I4" s="426" t="s">
        <v>59</v>
      </c>
      <c r="J4" s="426" t="s">
        <v>84</v>
      </c>
      <c r="K4" s="426" t="s">
        <v>85</v>
      </c>
      <c r="L4" s="438" t="s">
        <v>5</v>
      </c>
      <c r="M4" s="426"/>
    </row>
    <row r="5" spans="1:14" ht="18.95" customHeight="1">
      <c r="A5" s="436"/>
      <c r="B5" s="427" t="s">
        <v>86</v>
      </c>
      <c r="C5" s="430" t="s">
        <v>87</v>
      </c>
      <c r="D5" s="427" t="s">
        <v>88</v>
      </c>
      <c r="E5" s="430" t="s">
        <v>89</v>
      </c>
      <c r="F5" s="427" t="s">
        <v>62</v>
      </c>
      <c r="G5" s="430" t="s">
        <v>90</v>
      </c>
      <c r="H5" s="430" t="s">
        <v>91</v>
      </c>
      <c r="I5" s="426"/>
      <c r="J5" s="426"/>
      <c r="K5" s="426"/>
      <c r="L5" s="438"/>
      <c r="M5" s="426"/>
    </row>
    <row r="6" spans="1:14" ht="18.95" customHeight="1">
      <c r="A6" s="436"/>
      <c r="B6" s="428"/>
      <c r="C6" s="431"/>
      <c r="D6" s="428"/>
      <c r="E6" s="431"/>
      <c r="F6" s="428"/>
      <c r="G6" s="431"/>
      <c r="H6" s="431"/>
      <c r="I6" s="426"/>
      <c r="J6" s="426"/>
      <c r="K6" s="426"/>
      <c r="L6" s="438"/>
      <c r="M6" s="426"/>
    </row>
    <row r="7" spans="1:14" ht="105.75" customHeight="1">
      <c r="A7" s="436"/>
      <c r="B7" s="429"/>
      <c r="C7" s="432"/>
      <c r="D7" s="429"/>
      <c r="E7" s="432"/>
      <c r="F7" s="429"/>
      <c r="G7" s="432"/>
      <c r="H7" s="432"/>
      <c r="I7" s="426"/>
      <c r="J7" s="426"/>
      <c r="K7" s="426"/>
      <c r="L7" s="438"/>
      <c r="M7" s="426"/>
    </row>
    <row r="8" spans="1:14" s="62" customFormat="1">
      <c r="A8" s="65">
        <v>1</v>
      </c>
      <c r="B8" s="65">
        <v>2</v>
      </c>
      <c r="C8" s="65">
        <v>3</v>
      </c>
      <c r="D8" s="65">
        <v>4</v>
      </c>
      <c r="E8" s="65">
        <v>5</v>
      </c>
      <c r="F8" s="65">
        <v>6</v>
      </c>
      <c r="G8" s="65">
        <v>7</v>
      </c>
      <c r="H8" s="65">
        <v>8</v>
      </c>
      <c r="I8" s="65">
        <v>9</v>
      </c>
      <c r="J8" s="65">
        <v>10</v>
      </c>
      <c r="K8" s="65">
        <v>11</v>
      </c>
      <c r="L8" s="65">
        <v>12</v>
      </c>
      <c r="M8" s="65"/>
    </row>
    <row r="9" spans="1:14" ht="31.5">
      <c r="A9" s="95" t="s">
        <v>46</v>
      </c>
      <c r="B9" s="96">
        <f>' РАСЧЕТЫ по ГРБС 2022'!K4</f>
        <v>0.64</v>
      </c>
      <c r="C9" s="97">
        <f>' РАСЧЕТЫ по ГРБС 2022'!L4</f>
        <v>0.2</v>
      </c>
      <c r="D9" s="97">
        <f>' РАСЧЕТЫ по ГРБС 2022'!M4</f>
        <v>0.28571000000000002</v>
      </c>
      <c r="E9" s="97">
        <f>' РАСЧЕТЫ по ГРБС 2022'!N4</f>
        <v>0</v>
      </c>
      <c r="F9" s="96">
        <f>' РАСЧЕТЫ по ГРБС 2022'!O4</f>
        <v>2.6</v>
      </c>
      <c r="G9" s="98">
        <f>' РАСЧЕТЫ по ГРБС 2022'!P4</f>
        <v>0.74</v>
      </c>
      <c r="H9" s="96">
        <f>' РАСЧЕТЫ по ГРБС 2022'!Q4</f>
        <v>0.2</v>
      </c>
      <c r="I9" s="99">
        <f t="shared" ref="I9:I22" si="0">SUM(B9:H9)</f>
        <v>4.6657100000000007</v>
      </c>
      <c r="J9" s="100">
        <v>1.8</v>
      </c>
      <c r="K9" s="101">
        <f t="shared" ref="K9:K17" si="1">ROUND(I9*J9,2)</f>
        <v>8.4</v>
      </c>
      <c r="L9" s="102">
        <v>1</v>
      </c>
      <c r="M9" s="75">
        <v>8.39</v>
      </c>
      <c r="N9" s="76">
        <f t="shared" ref="N9:N22" si="2">K9-M9</f>
        <v>9.9999999999997868E-3</v>
      </c>
    </row>
    <row r="10" spans="1:14" ht="31.5">
      <c r="A10" s="95" t="s">
        <v>48</v>
      </c>
      <c r="B10" s="103">
        <v>0.61</v>
      </c>
      <c r="C10" s="96">
        <v>0.87</v>
      </c>
      <c r="D10" s="98">
        <v>1.39</v>
      </c>
      <c r="E10" s="98">
        <v>0.24</v>
      </c>
      <c r="F10" s="97">
        <v>0.78</v>
      </c>
      <c r="G10" s="102" t="s">
        <v>92</v>
      </c>
      <c r="H10" s="103">
        <v>0.14000000000000001</v>
      </c>
      <c r="I10" s="104">
        <f t="shared" si="0"/>
        <v>4.03</v>
      </c>
      <c r="J10" s="100">
        <v>1.8</v>
      </c>
      <c r="K10" s="105">
        <f t="shared" si="1"/>
        <v>7.25</v>
      </c>
      <c r="L10" s="102">
        <v>2</v>
      </c>
      <c r="M10" s="75">
        <v>7.25</v>
      </c>
      <c r="N10" s="76">
        <f t="shared" si="2"/>
        <v>0</v>
      </c>
    </row>
    <row r="11" spans="1:14" ht="31.5">
      <c r="A11" s="95" t="s">
        <v>50</v>
      </c>
      <c r="B11" s="97">
        <v>0.88</v>
      </c>
      <c r="C11" s="96">
        <v>1.04</v>
      </c>
      <c r="D11" s="97">
        <v>1.32</v>
      </c>
      <c r="E11" s="97">
        <v>0.23</v>
      </c>
      <c r="F11" s="96">
        <v>0.75</v>
      </c>
      <c r="G11" s="97">
        <v>0.09</v>
      </c>
      <c r="H11" s="96">
        <v>0.17</v>
      </c>
      <c r="I11" s="99">
        <f t="shared" si="0"/>
        <v>4.4800000000000004</v>
      </c>
      <c r="J11" s="100">
        <v>1.6</v>
      </c>
      <c r="K11" s="105">
        <f t="shared" si="1"/>
        <v>7.17</v>
      </c>
      <c r="L11" s="102">
        <v>3</v>
      </c>
      <c r="M11" s="75">
        <v>7.17</v>
      </c>
      <c r="N11" s="76">
        <f t="shared" si="2"/>
        <v>0</v>
      </c>
    </row>
    <row r="12" spans="1:14" ht="31.5">
      <c r="A12" s="95" t="s">
        <v>54</v>
      </c>
      <c r="B12" s="96">
        <v>0.72</v>
      </c>
      <c r="C12" s="103">
        <v>0.52</v>
      </c>
      <c r="D12" s="97">
        <v>1.1399999999999999</v>
      </c>
      <c r="E12" s="98">
        <v>0.24</v>
      </c>
      <c r="F12" s="97">
        <v>0.78</v>
      </c>
      <c r="G12" s="102" t="s">
        <v>92</v>
      </c>
      <c r="H12" s="97">
        <v>0.18</v>
      </c>
      <c r="I12" s="104">
        <f t="shared" si="0"/>
        <v>3.5800000000000005</v>
      </c>
      <c r="J12" s="100">
        <v>1.8</v>
      </c>
      <c r="K12" s="105">
        <f t="shared" si="1"/>
        <v>6.44</v>
      </c>
      <c r="L12" s="102">
        <v>4</v>
      </c>
      <c r="M12" s="75">
        <v>6.44</v>
      </c>
      <c r="N12" s="76">
        <f t="shared" si="2"/>
        <v>0</v>
      </c>
    </row>
    <row r="13" spans="1:14" s="106" customFormat="1">
      <c r="A13" s="107" t="s">
        <v>13</v>
      </c>
      <c r="B13" s="108">
        <f>' РАСЧЕТЫ по ГРБС 2022'!K4</f>
        <v>0.64</v>
      </c>
      <c r="C13" s="109">
        <f>' РАСЧЕТЫ по ГРБС 2022'!K10</f>
        <v>1.56</v>
      </c>
      <c r="D13" s="108"/>
      <c r="E13" s="110"/>
      <c r="F13" s="109"/>
      <c r="G13" s="111"/>
      <c r="H13" s="109"/>
      <c r="I13" s="112">
        <f t="shared" si="0"/>
        <v>2.2000000000000002</v>
      </c>
      <c r="J13" s="75">
        <v>1.4</v>
      </c>
      <c r="K13" s="113">
        <f t="shared" si="1"/>
        <v>3.08</v>
      </c>
      <c r="L13" s="111">
        <v>5</v>
      </c>
      <c r="M13" s="75">
        <v>5.7</v>
      </c>
      <c r="N13" s="114">
        <f t="shared" si="2"/>
        <v>-2.62</v>
      </c>
    </row>
    <row r="14" spans="1:14" ht="31.5">
      <c r="A14" s="95" t="s">
        <v>47</v>
      </c>
      <c r="B14" s="97">
        <v>0.98</v>
      </c>
      <c r="C14" s="97">
        <v>1.1299999999999999</v>
      </c>
      <c r="D14" s="97">
        <v>1.32</v>
      </c>
      <c r="E14" s="103">
        <v>0</v>
      </c>
      <c r="F14" s="96">
        <v>0.75</v>
      </c>
      <c r="G14" s="98">
        <v>0.23</v>
      </c>
      <c r="H14" s="96">
        <v>0.17</v>
      </c>
      <c r="I14" s="99">
        <f t="shared" si="0"/>
        <v>4.58</v>
      </c>
      <c r="J14" s="100">
        <v>1.2</v>
      </c>
      <c r="K14" s="105">
        <f t="shared" si="1"/>
        <v>5.5</v>
      </c>
      <c r="L14" s="102">
        <v>6</v>
      </c>
      <c r="M14" s="75">
        <v>5.5</v>
      </c>
      <c r="N14" s="76">
        <f t="shared" si="2"/>
        <v>0</v>
      </c>
    </row>
    <row r="15" spans="1:14" ht="31.5">
      <c r="A15" s="115" t="s">
        <v>53</v>
      </c>
      <c r="B15" s="98">
        <v>1.02</v>
      </c>
      <c r="C15" s="97">
        <v>1.0900000000000001</v>
      </c>
      <c r="D15" s="96">
        <v>0.97</v>
      </c>
      <c r="E15" s="98">
        <v>0.24</v>
      </c>
      <c r="F15" s="97">
        <v>0.78</v>
      </c>
      <c r="G15" s="102" t="s">
        <v>92</v>
      </c>
      <c r="H15" s="97">
        <v>0.18</v>
      </c>
      <c r="I15" s="99">
        <f t="shared" si="0"/>
        <v>4.28</v>
      </c>
      <c r="J15" s="100">
        <v>1.2</v>
      </c>
      <c r="K15" s="116">
        <f t="shared" si="1"/>
        <v>5.14</v>
      </c>
      <c r="L15" s="102">
        <v>7</v>
      </c>
      <c r="M15" s="75">
        <v>5.14</v>
      </c>
      <c r="N15" s="76">
        <f t="shared" si="2"/>
        <v>0</v>
      </c>
    </row>
    <row r="16" spans="1:14" ht="31.5">
      <c r="A16" s="95" t="s">
        <v>44</v>
      </c>
      <c r="B16" s="98">
        <v>1.02</v>
      </c>
      <c r="C16" s="96">
        <v>0.97</v>
      </c>
      <c r="D16" s="97">
        <v>1.22</v>
      </c>
      <c r="E16" s="103">
        <v>0</v>
      </c>
      <c r="F16" s="97">
        <v>0.78</v>
      </c>
      <c r="G16" s="102" t="s">
        <v>92</v>
      </c>
      <c r="H16" s="97">
        <v>0.18</v>
      </c>
      <c r="I16" s="104">
        <f t="shared" si="0"/>
        <v>4.17</v>
      </c>
      <c r="J16" s="100">
        <v>1.2</v>
      </c>
      <c r="K16" s="116">
        <f t="shared" si="1"/>
        <v>5</v>
      </c>
      <c r="L16" s="102">
        <v>8</v>
      </c>
      <c r="M16" s="75">
        <v>5</v>
      </c>
      <c r="N16" s="76">
        <f t="shared" si="2"/>
        <v>0</v>
      </c>
    </row>
    <row r="17" spans="1:14" ht="31.5">
      <c r="A17" s="95" t="s">
        <v>37</v>
      </c>
      <c r="B17" s="98">
        <v>1.02</v>
      </c>
      <c r="C17" s="97">
        <v>1.29</v>
      </c>
      <c r="D17" s="98">
        <v>1.39</v>
      </c>
      <c r="E17" s="98">
        <v>0.24</v>
      </c>
      <c r="F17" s="97">
        <v>0.78</v>
      </c>
      <c r="G17" s="102" t="s">
        <v>92</v>
      </c>
      <c r="H17" s="97">
        <v>0.18</v>
      </c>
      <c r="I17" s="117">
        <f t="shared" si="0"/>
        <v>4.9000000000000004</v>
      </c>
      <c r="J17" s="100">
        <v>1</v>
      </c>
      <c r="K17" s="116">
        <f t="shared" si="1"/>
        <v>4.9000000000000004</v>
      </c>
      <c r="L17" s="102">
        <v>9</v>
      </c>
      <c r="M17" s="75">
        <v>4.9000000000000004</v>
      </c>
      <c r="N17" s="76">
        <f t="shared" si="2"/>
        <v>0</v>
      </c>
    </row>
    <row r="18" spans="1:14">
      <c r="A18" s="95" t="s">
        <v>42</v>
      </c>
      <c r="B18" s="98">
        <v>1.02</v>
      </c>
      <c r="C18" s="97">
        <v>1.24</v>
      </c>
      <c r="D18" s="97">
        <v>1.3</v>
      </c>
      <c r="E18" s="98">
        <v>0.24</v>
      </c>
      <c r="F18" s="97">
        <v>0.78</v>
      </c>
      <c r="G18" s="102" t="s">
        <v>92</v>
      </c>
      <c r="H18" s="97">
        <v>0.18</v>
      </c>
      <c r="I18" s="99">
        <f t="shared" si="0"/>
        <v>4.76</v>
      </c>
      <c r="J18" s="100">
        <v>1</v>
      </c>
      <c r="K18" s="116">
        <f t="shared" ref="K18:K22" si="3">ROUND(I18*J18,2)</f>
        <v>4.76</v>
      </c>
      <c r="L18" s="102">
        <v>10</v>
      </c>
      <c r="M18" s="75">
        <v>4.76</v>
      </c>
      <c r="N18" s="76">
        <f t="shared" si="2"/>
        <v>0</v>
      </c>
    </row>
    <row r="19" spans="1:14" ht="31.5">
      <c r="A19" s="95" t="s">
        <v>49</v>
      </c>
      <c r="B19" s="97">
        <v>0.92</v>
      </c>
      <c r="C19" s="96">
        <v>1.02</v>
      </c>
      <c r="D19" s="98">
        <v>1.39</v>
      </c>
      <c r="E19" s="98">
        <v>0.24</v>
      </c>
      <c r="F19" s="97">
        <v>0.78</v>
      </c>
      <c r="G19" s="102" t="s">
        <v>92</v>
      </c>
      <c r="H19" s="97">
        <v>0.18</v>
      </c>
      <c r="I19" s="99">
        <f t="shared" si="0"/>
        <v>4.53</v>
      </c>
      <c r="J19" s="100">
        <v>1</v>
      </c>
      <c r="K19" s="116">
        <f t="shared" si="3"/>
        <v>4.53</v>
      </c>
      <c r="L19" s="102">
        <v>11</v>
      </c>
      <c r="M19" s="75">
        <v>4.53</v>
      </c>
      <c r="N19" s="76">
        <f t="shared" si="2"/>
        <v>0</v>
      </c>
    </row>
    <row r="20" spans="1:14" ht="31.5">
      <c r="A20" s="95" t="s">
        <v>38</v>
      </c>
      <c r="B20" s="98">
        <v>1.02</v>
      </c>
      <c r="C20" s="97">
        <v>1.0900000000000001</v>
      </c>
      <c r="D20" s="96">
        <v>0.97</v>
      </c>
      <c r="E20" s="98">
        <v>0.24</v>
      </c>
      <c r="F20" s="97">
        <v>0.78</v>
      </c>
      <c r="G20" s="102" t="s">
        <v>92</v>
      </c>
      <c r="H20" s="97">
        <v>0.18</v>
      </c>
      <c r="I20" s="99">
        <f t="shared" si="0"/>
        <v>4.28</v>
      </c>
      <c r="J20" s="100">
        <v>1</v>
      </c>
      <c r="K20" s="116">
        <f t="shared" si="3"/>
        <v>4.28</v>
      </c>
      <c r="L20" s="102">
        <v>12</v>
      </c>
      <c r="M20" s="75">
        <v>4.28</v>
      </c>
      <c r="N20" s="76">
        <f t="shared" si="2"/>
        <v>0</v>
      </c>
    </row>
    <row r="21" spans="1:14" ht="47.25">
      <c r="A21" s="95" t="s">
        <v>40</v>
      </c>
      <c r="B21" s="97">
        <v>0.92</v>
      </c>
      <c r="C21" s="97">
        <v>1.1200000000000001</v>
      </c>
      <c r="D21" s="103">
        <v>0.25</v>
      </c>
      <c r="E21" s="98">
        <v>0.24</v>
      </c>
      <c r="F21" s="97">
        <v>0.78</v>
      </c>
      <c r="G21" s="102" t="s">
        <v>92</v>
      </c>
      <c r="H21" s="97">
        <v>0.18</v>
      </c>
      <c r="I21" s="118">
        <f t="shared" si="0"/>
        <v>3.4900000000000007</v>
      </c>
      <c r="J21" s="100">
        <v>1</v>
      </c>
      <c r="K21" s="116">
        <f t="shared" si="3"/>
        <v>3.49</v>
      </c>
      <c r="L21" s="102">
        <v>13</v>
      </c>
      <c r="M21" s="75">
        <v>3.49</v>
      </c>
      <c r="N21" s="76">
        <f t="shared" si="2"/>
        <v>0</v>
      </c>
    </row>
    <row r="22" spans="1:14" ht="32.25" customHeight="1">
      <c r="A22" s="119" t="s">
        <v>79</v>
      </c>
      <c r="B22" s="120">
        <v>0.72</v>
      </c>
      <c r="C22" s="121">
        <v>1.34</v>
      </c>
      <c r="D22" s="122">
        <v>0.25</v>
      </c>
      <c r="E22" s="121">
        <v>0.24</v>
      </c>
      <c r="F22" s="123">
        <v>0.78</v>
      </c>
      <c r="G22" s="124" t="s">
        <v>92</v>
      </c>
      <c r="H22" s="123">
        <v>0.18</v>
      </c>
      <c r="I22" s="125">
        <f t="shared" si="0"/>
        <v>3.5100000000000002</v>
      </c>
      <c r="J22" s="126">
        <v>0.8</v>
      </c>
      <c r="K22" s="127">
        <f t="shared" si="3"/>
        <v>2.81</v>
      </c>
      <c r="L22" s="124">
        <v>14</v>
      </c>
      <c r="M22" s="128">
        <v>2.81</v>
      </c>
      <c r="N22" s="76">
        <f t="shared" si="2"/>
        <v>0</v>
      </c>
    </row>
    <row r="23" spans="1:14" s="90" customFormat="1">
      <c r="A23" s="129" t="s">
        <v>23</v>
      </c>
      <c r="B23" s="130">
        <f>SUM(B9:B22)</f>
        <v>12.129999999999999</v>
      </c>
      <c r="C23" s="130">
        <f t="shared" ref="C23:K23" si="4">SUM(C9:C22)</f>
        <v>14.48</v>
      </c>
      <c r="D23" s="130">
        <f t="shared" si="4"/>
        <v>13.195710000000002</v>
      </c>
      <c r="E23" s="130">
        <f t="shared" si="4"/>
        <v>2.3899999999999997</v>
      </c>
      <c r="F23" s="130">
        <f t="shared" si="4"/>
        <v>11.899999999999997</v>
      </c>
      <c r="G23" s="130">
        <f t="shared" si="4"/>
        <v>1.06</v>
      </c>
      <c r="H23" s="130">
        <f t="shared" si="4"/>
        <v>2.2999999999999998</v>
      </c>
      <c r="I23" s="130">
        <f t="shared" si="4"/>
        <v>57.455710000000003</v>
      </c>
      <c r="J23" s="130">
        <f t="shared" si="4"/>
        <v>17.8</v>
      </c>
      <c r="K23" s="130">
        <f t="shared" si="4"/>
        <v>72.75</v>
      </c>
      <c r="L23" s="130"/>
    </row>
    <row r="24" spans="1:14" s="90" customFormat="1">
      <c r="A24" s="129" t="s">
        <v>24</v>
      </c>
      <c r="B24" s="130">
        <f>ROUND(B23/14,2)</f>
        <v>0.87</v>
      </c>
      <c r="C24" s="130">
        <f t="shared" ref="C24:K24" si="5">ROUND(C23/14,2)</f>
        <v>1.03</v>
      </c>
      <c r="D24" s="130">
        <f t="shared" si="5"/>
        <v>0.94</v>
      </c>
      <c r="E24" s="130">
        <f t="shared" si="5"/>
        <v>0.17</v>
      </c>
      <c r="F24" s="130">
        <f t="shared" si="5"/>
        <v>0.85</v>
      </c>
      <c r="G24" s="130">
        <f t="shared" si="5"/>
        <v>0.08</v>
      </c>
      <c r="H24" s="130">
        <f t="shared" si="5"/>
        <v>0.16</v>
      </c>
      <c r="I24" s="130">
        <f t="shared" si="5"/>
        <v>4.0999999999999996</v>
      </c>
      <c r="J24" s="130">
        <f t="shared" si="5"/>
        <v>1.27</v>
      </c>
      <c r="K24" s="130">
        <f t="shared" si="5"/>
        <v>5.2</v>
      </c>
      <c r="L24" s="130"/>
    </row>
    <row r="27" spans="1:14">
      <c r="A27" s="56" t="s">
        <v>25</v>
      </c>
      <c r="B27" s="57"/>
    </row>
    <row r="28" spans="1:14">
      <c r="A28" s="56" t="s">
        <v>26</v>
      </c>
      <c r="B28" s="58"/>
    </row>
    <row r="29" spans="1:14">
      <c r="A29" s="56" t="s">
        <v>27</v>
      </c>
      <c r="B29" s="59"/>
    </row>
    <row r="30" spans="1:14">
      <c r="A30" s="56" t="s">
        <v>28</v>
      </c>
      <c r="B30" s="60"/>
    </row>
  </sheetData>
  <mergeCells count="17">
    <mergeCell ref="A1:L1"/>
    <mergeCell ref="A2:L2"/>
    <mergeCell ref="A3:I3"/>
    <mergeCell ref="A4:A7"/>
    <mergeCell ref="B4:H4"/>
    <mergeCell ref="I4:I7"/>
    <mergeCell ref="J4:J7"/>
    <mergeCell ref="K4:K7"/>
    <mergeCell ref="L4:L7"/>
    <mergeCell ref="M4:M7"/>
    <mergeCell ref="B5:B7"/>
    <mergeCell ref="C5:C7"/>
    <mergeCell ref="D5:D7"/>
    <mergeCell ref="E5:E7"/>
    <mergeCell ref="F5:F7"/>
    <mergeCell ref="G5:G7"/>
    <mergeCell ref="H5:H7"/>
  </mergeCells>
  <pageMargins left="3.937007874015748E-2" right="3.937007874015748E-2" top="0.15748031496062992" bottom="0.15748031496062992" header="0.15748031496062992" footer="0.15748031496062992"/>
  <pageSetup paperSize="8" scale="6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">
    <tabColor rgb="FFCC0066"/>
    <pageSetUpPr fitToPage="1"/>
  </sheetPr>
  <dimension ref="A2:R31"/>
  <sheetViews>
    <sheetView tabSelected="1" view="pageBreakPreview" topLeftCell="B1" zoomScale="60" workbookViewId="0">
      <selection activeCell="E1" sqref="E1:F1048576"/>
    </sheetView>
  </sheetViews>
  <sheetFormatPr defaultColWidth="9.140625" defaultRowHeight="15"/>
  <cols>
    <col min="1" max="1" width="6.85546875" style="1" customWidth="1"/>
    <col min="2" max="2" width="8.42578125" style="46" customWidth="1"/>
    <col min="3" max="3" width="50.85546875" style="3" customWidth="1"/>
    <col min="4" max="4" width="15" style="3" customWidth="1"/>
    <col min="5" max="5" width="0" style="3" hidden="1" customWidth="1"/>
    <col min="6" max="6" width="0" style="1" hidden="1" customWidth="1"/>
    <col min="7" max="7" width="5.42578125" style="1" customWidth="1"/>
    <col min="8" max="8" width="3.85546875" style="1" customWidth="1"/>
    <col min="9" max="9" width="0" style="1" hidden="1" customWidth="1"/>
    <col min="10" max="10" width="46.7109375" style="131" hidden="1" customWidth="1"/>
    <col min="11" max="18" width="0" style="1" hidden="1" customWidth="1"/>
    <col min="19" max="16384" width="9.140625" style="1"/>
  </cols>
  <sheetData>
    <row r="2" spans="1:18" ht="15.75">
      <c r="A2" s="440" t="s">
        <v>93</v>
      </c>
      <c r="B2" s="440"/>
      <c r="C2" s="440"/>
      <c r="D2" s="440"/>
    </row>
    <row r="3" spans="1:18" ht="15.75">
      <c r="A3" s="440"/>
      <c r="B3" s="440"/>
      <c r="C3" s="440"/>
      <c r="D3" s="440"/>
    </row>
    <row r="5" spans="1:18" ht="60.75" customHeight="1">
      <c r="A5" s="47" t="s">
        <v>34</v>
      </c>
      <c r="B5" s="47" t="s">
        <v>35</v>
      </c>
      <c r="C5" s="47" t="s">
        <v>2</v>
      </c>
      <c r="D5" s="132" t="s">
        <v>94</v>
      </c>
    </row>
    <row r="6" spans="1:18" s="8" customFormat="1" ht="30">
      <c r="A6" s="77" t="s">
        <v>65</v>
      </c>
      <c r="B6" s="52">
        <v>609</v>
      </c>
      <c r="C6" s="52" t="s">
        <v>37</v>
      </c>
      <c r="D6" s="133">
        <f>' РАСЧЕТЫ по ГРБС 2022'!AO35</f>
        <v>4.42</v>
      </c>
      <c r="E6" s="15">
        <v>609</v>
      </c>
      <c r="F6" s="77" t="s">
        <v>65</v>
      </c>
      <c r="I6" s="134">
        <v>601</v>
      </c>
      <c r="J6" s="134" t="s">
        <v>13</v>
      </c>
      <c r="K6" s="134">
        <v>3.6400000000000006</v>
      </c>
      <c r="O6" s="8" t="s">
        <v>65</v>
      </c>
      <c r="P6" s="8">
        <v>609</v>
      </c>
      <c r="Q6" s="8" t="s">
        <v>37</v>
      </c>
      <c r="R6" s="8">
        <v>3.84</v>
      </c>
    </row>
    <row r="7" spans="1:18" ht="30">
      <c r="A7" s="77" t="s">
        <v>66</v>
      </c>
      <c r="B7" s="15">
        <v>618</v>
      </c>
      <c r="C7" s="15" t="s">
        <v>38</v>
      </c>
      <c r="D7" s="133">
        <f>' РАСЧЕТЫ по ГРБС 2022'!BD35</f>
        <v>4.08</v>
      </c>
      <c r="E7" s="15">
        <v>618</v>
      </c>
      <c r="F7" s="77" t="s">
        <v>76</v>
      </c>
      <c r="I7" s="36">
        <v>611</v>
      </c>
      <c r="J7" s="36" t="s">
        <v>47</v>
      </c>
      <c r="K7" s="36">
        <v>2.58</v>
      </c>
      <c r="O7" s="1" t="s">
        <v>73</v>
      </c>
      <c r="P7" s="1">
        <v>618</v>
      </c>
      <c r="Q7" s="1" t="s">
        <v>38</v>
      </c>
      <c r="R7" s="1">
        <v>3.37</v>
      </c>
    </row>
    <row r="8" spans="1:18" ht="45">
      <c r="A8" s="135" t="s">
        <v>67</v>
      </c>
      <c r="B8" s="15">
        <v>624</v>
      </c>
      <c r="C8" s="15" t="s">
        <v>40</v>
      </c>
      <c r="D8" s="133">
        <f>' РАСЧЕТЫ по ГРБС 2022'!BX35</f>
        <v>3.79</v>
      </c>
      <c r="E8" s="15">
        <v>624</v>
      </c>
      <c r="F8" s="135" t="s">
        <v>74</v>
      </c>
    </row>
    <row r="9" spans="1:18" ht="25.5" customHeight="1">
      <c r="A9" s="77" t="s">
        <v>68</v>
      </c>
      <c r="B9" s="15">
        <v>617</v>
      </c>
      <c r="C9" s="15" t="s">
        <v>42</v>
      </c>
      <c r="D9" s="133">
        <f>' РАСЧЕТЫ по ГРБС 2022'!AY35</f>
        <v>3.7600000000000002</v>
      </c>
      <c r="E9" s="15">
        <v>617</v>
      </c>
      <c r="F9" s="77" t="s">
        <v>80</v>
      </c>
      <c r="I9" s="36">
        <v>604</v>
      </c>
      <c r="J9" s="36" t="s">
        <v>49</v>
      </c>
      <c r="K9" s="36">
        <v>4.47</v>
      </c>
      <c r="O9" s="1" t="s">
        <v>67</v>
      </c>
      <c r="P9" s="1">
        <v>605</v>
      </c>
      <c r="Q9" s="1" t="s">
        <v>79</v>
      </c>
      <c r="R9" s="1">
        <v>3.8499999999999996</v>
      </c>
    </row>
    <row r="10" spans="1:18">
      <c r="A10" s="77" t="s">
        <v>70</v>
      </c>
      <c r="B10" s="15">
        <v>601</v>
      </c>
      <c r="C10" s="15" t="s">
        <v>13</v>
      </c>
      <c r="D10" s="133">
        <f>' РАСЧЕТЫ по ГРБС 2022'!K35</f>
        <v>3.7600000000000002</v>
      </c>
      <c r="E10" s="15">
        <v>601</v>
      </c>
      <c r="F10" s="77" t="s">
        <v>70</v>
      </c>
      <c r="I10" s="36">
        <v>606</v>
      </c>
      <c r="J10" s="36" t="s">
        <v>46</v>
      </c>
      <c r="K10" s="36">
        <v>3.5400000000000005</v>
      </c>
      <c r="O10" s="1" t="s">
        <v>70</v>
      </c>
      <c r="P10" s="1">
        <v>601</v>
      </c>
      <c r="Q10" s="1" t="s">
        <v>13</v>
      </c>
      <c r="R10" s="1">
        <v>3.0600000000000005</v>
      </c>
    </row>
    <row r="11" spans="1:18" ht="30">
      <c r="A11" s="135" t="s">
        <v>71</v>
      </c>
      <c r="B11" s="15">
        <v>619</v>
      </c>
      <c r="C11" s="15" t="s">
        <v>44</v>
      </c>
      <c r="D11" s="133">
        <f>' РАСЧЕТЫ по ГРБС 2022'!BI35</f>
        <v>3.7199999999999998</v>
      </c>
      <c r="E11" s="15">
        <v>619</v>
      </c>
      <c r="F11" s="135" t="s">
        <v>77</v>
      </c>
    </row>
    <row r="12" spans="1:18" ht="30">
      <c r="A12" s="77" t="s">
        <v>72</v>
      </c>
      <c r="B12" s="15">
        <v>605</v>
      </c>
      <c r="C12" s="15" t="s">
        <v>45</v>
      </c>
      <c r="D12" s="133">
        <f>' РАСЧЕТЫ по ГРБС 2022'!Z35</f>
        <v>3.6799999999999997</v>
      </c>
      <c r="E12" s="15">
        <v>605</v>
      </c>
      <c r="F12" s="77" t="s">
        <v>78</v>
      </c>
      <c r="I12" s="36">
        <v>609</v>
      </c>
      <c r="J12" s="36" t="s">
        <v>37</v>
      </c>
      <c r="K12" s="36">
        <v>4.5600000000000005</v>
      </c>
      <c r="O12" s="1" t="s">
        <v>72</v>
      </c>
      <c r="P12" s="1">
        <v>607</v>
      </c>
      <c r="Q12" s="1" t="s">
        <v>50</v>
      </c>
      <c r="R12" s="1">
        <v>3.1700000000000004</v>
      </c>
    </row>
    <row r="13" spans="1:18" ht="30">
      <c r="A13" s="136">
        <v>8</v>
      </c>
      <c r="B13" s="15">
        <v>606</v>
      </c>
      <c r="C13" s="15" t="s">
        <v>46</v>
      </c>
      <c r="D13" s="133">
        <f>' РАСЧЕТЫ по ГРБС 2022'!AE35</f>
        <v>3.6399999999999997</v>
      </c>
      <c r="E13" s="15">
        <v>606</v>
      </c>
      <c r="F13" s="136">
        <v>2</v>
      </c>
      <c r="I13" s="36">
        <v>607</v>
      </c>
      <c r="J13" s="36" t="s">
        <v>50</v>
      </c>
      <c r="K13" s="36">
        <v>3.5300000000000007</v>
      </c>
      <c r="O13" s="1" t="s">
        <v>71</v>
      </c>
      <c r="P13" s="1">
        <v>606</v>
      </c>
      <c r="Q13" s="1" t="s">
        <v>46</v>
      </c>
      <c r="R13" s="1">
        <v>3.6700000000000004</v>
      </c>
    </row>
    <row r="14" spans="1:18" ht="30">
      <c r="A14" s="77" t="s">
        <v>74</v>
      </c>
      <c r="B14" s="15">
        <v>611</v>
      </c>
      <c r="C14" s="15" t="s">
        <v>47</v>
      </c>
      <c r="D14" s="133">
        <f>' РАСЧЕТЫ по ГРБС 2022'!AT35</f>
        <v>3.59</v>
      </c>
      <c r="E14" s="15">
        <v>611</v>
      </c>
      <c r="F14" s="77" t="s">
        <v>67</v>
      </c>
      <c r="I14" s="36">
        <v>617</v>
      </c>
      <c r="J14" s="36" t="s">
        <v>42</v>
      </c>
      <c r="K14" s="36">
        <v>3.7699999999999996</v>
      </c>
      <c r="O14" s="1" t="s">
        <v>74</v>
      </c>
      <c r="P14" s="1">
        <v>619</v>
      </c>
      <c r="Q14" s="1" t="s">
        <v>44</v>
      </c>
      <c r="R14" s="1">
        <v>3.3</v>
      </c>
    </row>
    <row r="15" spans="1:18" ht="30">
      <c r="A15" s="77" t="s">
        <v>75</v>
      </c>
      <c r="B15" s="15">
        <v>620</v>
      </c>
      <c r="C15" s="15" t="s">
        <v>48</v>
      </c>
      <c r="D15" s="133">
        <f>' РАСЧЕТЫ по ГРБС 2022'!BN35</f>
        <v>3.5799999999999996</v>
      </c>
      <c r="E15" s="15">
        <v>620</v>
      </c>
      <c r="F15" s="77" t="s">
        <v>72</v>
      </c>
      <c r="I15" s="36">
        <v>621</v>
      </c>
      <c r="J15" s="36" t="s">
        <v>54</v>
      </c>
      <c r="K15" s="36">
        <v>2.71</v>
      </c>
      <c r="O15" s="1" t="s">
        <v>78</v>
      </c>
      <c r="P15" s="1">
        <v>611</v>
      </c>
      <c r="Q15" s="1" t="s">
        <v>47</v>
      </c>
      <c r="R15" s="1">
        <v>2.83</v>
      </c>
    </row>
    <row r="16" spans="1:18" ht="30">
      <c r="A16" s="136">
        <v>11</v>
      </c>
      <c r="B16" s="15">
        <v>604</v>
      </c>
      <c r="C16" s="15" t="s">
        <v>49</v>
      </c>
      <c r="D16" s="133">
        <f>' РАСЧЕТЫ по ГРБС 2022'!U35</f>
        <v>3.55</v>
      </c>
      <c r="E16" s="15">
        <v>604</v>
      </c>
      <c r="F16" s="136">
        <v>6</v>
      </c>
      <c r="I16" s="36">
        <v>605</v>
      </c>
      <c r="J16" s="36" t="s">
        <v>79</v>
      </c>
      <c r="K16" s="36">
        <v>4.3100000000000005</v>
      </c>
      <c r="O16" s="1" t="s">
        <v>68</v>
      </c>
      <c r="P16" s="1">
        <v>617</v>
      </c>
      <c r="Q16" s="1" t="s">
        <v>42</v>
      </c>
      <c r="R16" s="1">
        <v>3.47</v>
      </c>
    </row>
    <row r="17" spans="1:18" ht="30">
      <c r="A17" s="77" t="s">
        <v>77</v>
      </c>
      <c r="B17" s="15">
        <v>607</v>
      </c>
      <c r="C17" s="15" t="s">
        <v>50</v>
      </c>
      <c r="D17" s="133">
        <f>' РАСЧЕТЫ по ГРБС 2022'!AJ35</f>
        <v>3.51</v>
      </c>
      <c r="E17" s="15">
        <v>607</v>
      </c>
      <c r="F17" s="77" t="s">
        <v>68</v>
      </c>
      <c r="I17" s="36">
        <v>620</v>
      </c>
      <c r="J17" s="36" t="s">
        <v>48</v>
      </c>
      <c r="K17" s="36">
        <v>2.6700000000000004</v>
      </c>
      <c r="O17" s="1" t="s">
        <v>77</v>
      </c>
      <c r="P17" s="1">
        <v>620</v>
      </c>
      <c r="Q17" s="1" t="s">
        <v>48</v>
      </c>
      <c r="R17" s="1">
        <v>2.68</v>
      </c>
    </row>
    <row r="18" spans="1:18">
      <c r="A18" s="77" t="s">
        <v>78</v>
      </c>
      <c r="B18" s="15">
        <v>600</v>
      </c>
      <c r="C18" s="15" t="s">
        <v>51</v>
      </c>
      <c r="D18" s="133">
        <f>' РАСЧЕТЫ по ГРБС 2022'!F35</f>
        <v>3.32</v>
      </c>
      <c r="E18" s="15">
        <v>600</v>
      </c>
      <c r="F18" s="77" t="s">
        <v>75</v>
      </c>
      <c r="I18" s="36">
        <v>618</v>
      </c>
      <c r="J18" s="36" t="s">
        <v>38</v>
      </c>
      <c r="K18" s="36">
        <v>3.3</v>
      </c>
      <c r="O18" s="1" t="s">
        <v>75</v>
      </c>
      <c r="P18" s="1">
        <v>624</v>
      </c>
      <c r="Q18" s="1" t="s">
        <v>40</v>
      </c>
      <c r="R18" s="1">
        <v>3.1799999999999997</v>
      </c>
    </row>
    <row r="19" spans="1:18">
      <c r="A19" s="77" t="s">
        <v>80</v>
      </c>
      <c r="B19" s="15">
        <v>643</v>
      </c>
      <c r="C19" s="15" t="s">
        <v>52</v>
      </c>
      <c r="D19" s="133">
        <f>' РАСЧЕТЫ по ГРБС 2022'!CC35</f>
        <v>3.22</v>
      </c>
      <c r="E19" s="52">
        <v>643</v>
      </c>
      <c r="F19" s="77" t="s">
        <v>73</v>
      </c>
      <c r="I19" s="36">
        <v>602</v>
      </c>
      <c r="J19" s="36" t="s">
        <v>53</v>
      </c>
      <c r="K19" s="36">
        <v>1.93</v>
      </c>
      <c r="O19" s="1" t="s">
        <v>66</v>
      </c>
      <c r="P19" s="1">
        <v>604</v>
      </c>
      <c r="Q19" s="1" t="s">
        <v>49</v>
      </c>
      <c r="R19" s="1">
        <v>4.3</v>
      </c>
    </row>
    <row r="20" spans="1:18" ht="30">
      <c r="A20" s="135" t="s">
        <v>81</v>
      </c>
      <c r="B20" s="15">
        <v>602</v>
      </c>
      <c r="C20" s="15" t="s">
        <v>53</v>
      </c>
      <c r="D20" s="133">
        <f>' РАСЧЕТЫ по ГРБС 2022'!P35</f>
        <v>3.0500000000000003</v>
      </c>
      <c r="E20" s="15">
        <v>602</v>
      </c>
      <c r="F20" s="135" t="s">
        <v>81</v>
      </c>
      <c r="I20" s="36">
        <v>624</v>
      </c>
      <c r="J20" s="36" t="s">
        <v>40</v>
      </c>
      <c r="K20" s="36">
        <v>3.17</v>
      </c>
      <c r="O20" s="1" t="s">
        <v>80</v>
      </c>
      <c r="P20" s="1">
        <v>602</v>
      </c>
      <c r="Q20" s="1" t="s">
        <v>53</v>
      </c>
      <c r="R20" s="1">
        <v>2.6</v>
      </c>
    </row>
    <row r="21" spans="1:18" ht="30">
      <c r="A21" s="77" t="s">
        <v>82</v>
      </c>
      <c r="B21" s="15">
        <v>621</v>
      </c>
      <c r="C21" s="15" t="s">
        <v>54</v>
      </c>
      <c r="D21" s="133">
        <f>' РАСЧЕТЫ по ГРБС 2022'!BS35</f>
        <v>2.17</v>
      </c>
      <c r="E21" s="15">
        <v>621</v>
      </c>
      <c r="F21" s="77" t="s">
        <v>82</v>
      </c>
      <c r="I21" s="36">
        <v>619</v>
      </c>
      <c r="J21" s="36" t="s">
        <v>44</v>
      </c>
      <c r="K21" s="36">
        <v>3.24</v>
      </c>
      <c r="O21" s="1" t="s">
        <v>76</v>
      </c>
      <c r="P21" s="1">
        <v>621</v>
      </c>
      <c r="Q21" s="1" t="s">
        <v>54</v>
      </c>
      <c r="R21" s="1">
        <v>2.83</v>
      </c>
    </row>
    <row r="24" spans="1:18">
      <c r="C24" s="51" t="s">
        <v>23</v>
      </c>
      <c r="D24" s="3">
        <f>SUBTOTAL(9,D6:D23)</f>
        <v>56.839999999999989</v>
      </c>
    </row>
    <row r="25" spans="1:18">
      <c r="C25" s="54" t="s">
        <v>24</v>
      </c>
      <c r="D25" s="137">
        <f>ROUND(D24/16,2)</f>
        <v>3.55</v>
      </c>
    </row>
    <row r="27" spans="1:18" ht="15.75" hidden="1">
      <c r="C27" s="56" t="s">
        <v>25</v>
      </c>
      <c r="D27" s="56"/>
    </row>
    <row r="28" spans="1:18" ht="15.75" hidden="1">
      <c r="C28" s="56" t="s">
        <v>26</v>
      </c>
      <c r="D28" s="56"/>
    </row>
    <row r="29" spans="1:18" ht="15.75" hidden="1">
      <c r="C29" s="56" t="s">
        <v>27</v>
      </c>
      <c r="D29" s="56"/>
    </row>
    <row r="30" spans="1:18" ht="15.75" hidden="1">
      <c r="C30" s="56" t="s">
        <v>28</v>
      </c>
      <c r="D30" s="56"/>
    </row>
    <row r="31" spans="1:18" hidden="1"/>
  </sheetData>
  <sheetProtection formatCells="0" formatColumns="0" formatRows="0" insertColumns="0" insertRows="0" insertHyperlinks="0" deleteColumns="0" deleteRows="0" sort="0" autoFilter="0" pivotTables="0"/>
  <sortState ref="A6:E21">
    <sortCondition descending="1" ref="D6"/>
  </sortState>
  <mergeCells count="2">
    <mergeCell ref="A2:D2"/>
    <mergeCell ref="A3:D3"/>
  </mergeCells>
  <pageMargins left="0.96999999999999986" right="0.19685039370078738" top="0.35433070866141736" bottom="0.19685039370078738" header="0.15748031496062992" footer="0.1574803149606299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tabColor rgb="FFCC66FF"/>
  </sheetPr>
  <dimension ref="A2:CC38"/>
  <sheetViews>
    <sheetView zoomScale="80" workbookViewId="0">
      <pane xSplit="1" ySplit="2" topLeftCell="B3" activePane="bottomRight" state="frozen"/>
      <selection activeCell="AL49" sqref="AL49"/>
      <selection pane="topRight"/>
      <selection pane="bottomLeft"/>
      <selection pane="bottomRight" activeCell="B3" sqref="B3"/>
    </sheetView>
  </sheetViews>
  <sheetFormatPr defaultColWidth="9.140625" defaultRowHeight="15"/>
  <cols>
    <col min="1" max="1" width="60.140625" style="139" customWidth="1"/>
    <col min="2" max="3" width="13" style="140" customWidth="1"/>
    <col min="4" max="4" width="12" style="138" bestFit="1" customWidth="1"/>
    <col min="5" max="5" width="12.5703125" style="138" customWidth="1"/>
    <col min="6" max="6" width="13" style="138" customWidth="1"/>
    <col min="7" max="8" width="13" style="140" customWidth="1"/>
    <col min="9" max="9" width="12" style="138" bestFit="1" customWidth="1"/>
    <col min="10" max="10" width="12.5703125" style="138" customWidth="1"/>
    <col min="11" max="11" width="13" style="138" customWidth="1"/>
    <col min="12" max="12" width="13.7109375" style="138" customWidth="1"/>
    <col min="13" max="13" width="11.42578125" style="138" customWidth="1"/>
    <col min="14" max="14" width="11.28515625" style="138" customWidth="1"/>
    <col min="15" max="15" width="11" style="138" customWidth="1"/>
    <col min="16" max="16" width="10.28515625" style="138" customWidth="1"/>
    <col min="17" max="17" width="13.7109375" style="138" customWidth="1"/>
    <col min="18" max="18" width="11.42578125" style="138" customWidth="1"/>
    <col min="19" max="19" width="11.28515625" style="138" customWidth="1"/>
    <col min="20" max="20" width="11" style="138" customWidth="1"/>
    <col min="21" max="21" width="10.28515625" style="138" customWidth="1"/>
    <col min="22" max="22" width="13.7109375" style="138" customWidth="1"/>
    <col min="23" max="23" width="11.42578125" style="138" customWidth="1"/>
    <col min="24" max="24" width="11.28515625" style="138" customWidth="1"/>
    <col min="25" max="25" width="11" style="138" customWidth="1"/>
    <col min="26" max="26" width="10.28515625" style="138" customWidth="1"/>
    <col min="27" max="27" width="13.7109375" style="138" customWidth="1"/>
    <col min="28" max="28" width="11.42578125" style="138" customWidth="1"/>
    <col min="29" max="29" width="11.28515625" style="138" customWidth="1"/>
    <col min="30" max="30" width="11" style="138" customWidth="1"/>
    <col min="31" max="31" width="10.28515625" style="138" customWidth="1"/>
    <col min="32" max="32" width="13.7109375" style="138" customWidth="1"/>
    <col min="33" max="33" width="11.42578125" style="138" customWidth="1"/>
    <col min="34" max="34" width="11.28515625" style="138" customWidth="1"/>
    <col min="35" max="35" width="12.140625" style="138" customWidth="1"/>
    <col min="36" max="36" width="10.28515625" style="138" customWidth="1"/>
    <col min="37" max="37" width="13.7109375" style="138" customWidth="1"/>
    <col min="38" max="38" width="11.42578125" style="138" customWidth="1"/>
    <col min="39" max="39" width="11.28515625" style="138" customWidth="1"/>
    <col min="40" max="40" width="11" style="138" customWidth="1"/>
    <col min="41" max="41" width="10.28515625" style="138" customWidth="1"/>
    <col min="42" max="42" width="13.7109375" style="138" customWidth="1"/>
    <col min="43" max="43" width="11.42578125" style="138" customWidth="1"/>
    <col min="44" max="44" width="11.28515625" style="138" customWidth="1"/>
    <col min="45" max="45" width="11" style="138" customWidth="1"/>
    <col min="46" max="46" width="10.28515625" style="138" customWidth="1"/>
    <col min="47" max="47" width="13.7109375" style="138" customWidth="1"/>
    <col min="48" max="48" width="11.42578125" style="138" customWidth="1"/>
    <col min="49" max="49" width="11.28515625" style="138" customWidth="1"/>
    <col min="50" max="50" width="11" style="138" customWidth="1"/>
    <col min="51" max="51" width="10.28515625" style="138" customWidth="1"/>
    <col min="52" max="52" width="13.7109375" style="138" customWidth="1"/>
    <col min="53" max="53" width="11.42578125" style="138" customWidth="1"/>
    <col min="54" max="54" width="11.28515625" style="138" customWidth="1"/>
    <col min="55" max="55" width="11" style="138" customWidth="1"/>
    <col min="56" max="56" width="10.28515625" style="138" customWidth="1"/>
    <col min="57" max="57" width="13.7109375" style="138" customWidth="1"/>
    <col min="58" max="58" width="11.42578125" style="138" customWidth="1"/>
    <col min="59" max="59" width="11.28515625" style="138" customWidth="1"/>
    <col min="60" max="60" width="11" style="138" customWidth="1"/>
    <col min="61" max="61" width="10.28515625" style="138" customWidth="1"/>
    <col min="62" max="62" width="13.7109375" style="138" customWidth="1"/>
    <col min="63" max="63" width="11.42578125" style="138" customWidth="1"/>
    <col min="64" max="64" width="11.28515625" style="138" customWidth="1"/>
    <col min="65" max="65" width="11" style="138" customWidth="1"/>
    <col min="66" max="66" width="10.28515625" style="138" customWidth="1"/>
    <col min="67" max="67" width="13.7109375" style="138" customWidth="1"/>
    <col min="68" max="68" width="11.42578125" style="138" customWidth="1"/>
    <col min="69" max="69" width="11.28515625" style="138" customWidth="1"/>
    <col min="70" max="70" width="11" style="138" customWidth="1"/>
    <col min="71" max="71" width="10.28515625" style="138" customWidth="1"/>
    <col min="72" max="72" width="13.7109375" style="138" customWidth="1"/>
    <col min="73" max="73" width="11.42578125" style="138" customWidth="1"/>
    <col min="74" max="74" width="11.28515625" style="138" customWidth="1"/>
    <col min="75" max="75" width="11" style="138" customWidth="1"/>
    <col min="76" max="76" width="10.28515625" style="138" customWidth="1"/>
    <col min="77" max="77" width="13.7109375" style="138" customWidth="1"/>
    <col min="78" max="78" width="11.42578125" style="138" customWidth="1"/>
    <col min="79" max="79" width="11.28515625" style="138" customWidth="1"/>
    <col min="80" max="80" width="11" style="138" customWidth="1"/>
    <col min="81" max="81" width="10.28515625" style="138" customWidth="1"/>
    <col min="82" max="16384" width="9.140625" style="138"/>
  </cols>
  <sheetData>
    <row r="2" spans="1:81" ht="14.45" customHeight="1">
      <c r="A2" s="141" t="s">
        <v>35</v>
      </c>
      <c r="B2" s="444">
        <v>600</v>
      </c>
      <c r="C2" s="445"/>
      <c r="D2" s="445"/>
      <c r="E2" s="445"/>
      <c r="F2" s="446"/>
      <c r="G2" s="444">
        <v>601</v>
      </c>
      <c r="H2" s="445"/>
      <c r="I2" s="445"/>
      <c r="J2" s="445"/>
      <c r="K2" s="446"/>
      <c r="L2" s="441">
        <v>602</v>
      </c>
      <c r="M2" s="442"/>
      <c r="N2" s="442"/>
      <c r="O2" s="442"/>
      <c r="P2" s="443"/>
      <c r="Q2" s="441">
        <v>604</v>
      </c>
      <c r="R2" s="442"/>
      <c r="S2" s="442"/>
      <c r="T2" s="442"/>
      <c r="U2" s="443"/>
      <c r="V2" s="441">
        <v>605</v>
      </c>
      <c r="W2" s="442"/>
      <c r="X2" s="442"/>
      <c r="Y2" s="442"/>
      <c r="Z2" s="443"/>
      <c r="AA2" s="441">
        <v>606</v>
      </c>
      <c r="AB2" s="442"/>
      <c r="AC2" s="442"/>
      <c r="AD2" s="442"/>
      <c r="AE2" s="443"/>
      <c r="AF2" s="441">
        <v>607</v>
      </c>
      <c r="AG2" s="442"/>
      <c r="AH2" s="442"/>
      <c r="AI2" s="442"/>
      <c r="AJ2" s="443"/>
      <c r="AK2" s="441">
        <v>609</v>
      </c>
      <c r="AL2" s="442"/>
      <c r="AM2" s="442"/>
      <c r="AN2" s="442"/>
      <c r="AO2" s="443"/>
      <c r="AP2" s="441">
        <v>611</v>
      </c>
      <c r="AQ2" s="442"/>
      <c r="AR2" s="442"/>
      <c r="AS2" s="442"/>
      <c r="AT2" s="443"/>
      <c r="AU2" s="441">
        <v>617</v>
      </c>
      <c r="AV2" s="442"/>
      <c r="AW2" s="442"/>
      <c r="AX2" s="442"/>
      <c r="AY2" s="443"/>
      <c r="AZ2" s="441">
        <v>618</v>
      </c>
      <c r="BA2" s="442"/>
      <c r="BB2" s="442"/>
      <c r="BC2" s="442"/>
      <c r="BD2" s="443"/>
      <c r="BE2" s="441">
        <v>619</v>
      </c>
      <c r="BF2" s="442"/>
      <c r="BG2" s="442"/>
      <c r="BH2" s="442"/>
      <c r="BI2" s="443"/>
      <c r="BJ2" s="441">
        <v>620</v>
      </c>
      <c r="BK2" s="442"/>
      <c r="BL2" s="442"/>
      <c r="BM2" s="442"/>
      <c r="BN2" s="443"/>
      <c r="BO2" s="441">
        <v>621</v>
      </c>
      <c r="BP2" s="442"/>
      <c r="BQ2" s="442"/>
      <c r="BR2" s="442"/>
      <c r="BS2" s="443"/>
      <c r="BT2" s="441">
        <v>624</v>
      </c>
      <c r="BU2" s="442"/>
      <c r="BV2" s="442"/>
      <c r="BW2" s="442"/>
      <c r="BX2" s="443"/>
      <c r="BY2" s="441">
        <v>643</v>
      </c>
      <c r="BZ2" s="442"/>
      <c r="CA2" s="442"/>
      <c r="CB2" s="442"/>
      <c r="CC2" s="443"/>
    </row>
    <row r="3" spans="1:81" s="142" customFormat="1" ht="76.5">
      <c r="A3" s="143" t="s">
        <v>95</v>
      </c>
      <c r="B3" s="144" t="s">
        <v>96</v>
      </c>
      <c r="C3" s="145" t="s">
        <v>97</v>
      </c>
      <c r="D3" s="146" t="s">
        <v>98</v>
      </c>
      <c r="E3" s="146" t="s">
        <v>99</v>
      </c>
      <c r="F3" s="147" t="s">
        <v>100</v>
      </c>
      <c r="G3" s="144" t="s">
        <v>96</v>
      </c>
      <c r="H3" s="145" t="s">
        <v>97</v>
      </c>
      <c r="I3" s="146" t="s">
        <v>98</v>
      </c>
      <c r="J3" s="146" t="s">
        <v>99</v>
      </c>
      <c r="K3" s="147" t="s">
        <v>100</v>
      </c>
      <c r="L3" s="144" t="s">
        <v>96</v>
      </c>
      <c r="M3" s="145" t="s">
        <v>97</v>
      </c>
      <c r="N3" s="146" t="s">
        <v>98</v>
      </c>
      <c r="O3" s="146" t="s">
        <v>99</v>
      </c>
      <c r="P3" s="147" t="s">
        <v>100</v>
      </c>
      <c r="Q3" s="148" t="s">
        <v>96</v>
      </c>
      <c r="R3" s="145" t="s">
        <v>97</v>
      </c>
      <c r="S3" s="146" t="s">
        <v>98</v>
      </c>
      <c r="T3" s="146" t="s">
        <v>99</v>
      </c>
      <c r="U3" s="147" t="s">
        <v>100</v>
      </c>
      <c r="V3" s="144" t="s">
        <v>96</v>
      </c>
      <c r="W3" s="145" t="s">
        <v>97</v>
      </c>
      <c r="X3" s="146" t="s">
        <v>98</v>
      </c>
      <c r="Y3" s="146" t="s">
        <v>99</v>
      </c>
      <c r="Z3" s="147" t="s">
        <v>100</v>
      </c>
      <c r="AA3" s="144" t="s">
        <v>96</v>
      </c>
      <c r="AB3" s="145" t="s">
        <v>97</v>
      </c>
      <c r="AC3" s="146" t="s">
        <v>98</v>
      </c>
      <c r="AD3" s="146" t="s">
        <v>99</v>
      </c>
      <c r="AE3" s="147" t="s">
        <v>100</v>
      </c>
      <c r="AF3" s="144" t="s">
        <v>96</v>
      </c>
      <c r="AG3" s="145" t="s">
        <v>97</v>
      </c>
      <c r="AH3" s="146" t="s">
        <v>98</v>
      </c>
      <c r="AI3" s="146" t="s">
        <v>99</v>
      </c>
      <c r="AJ3" s="147" t="s">
        <v>100</v>
      </c>
      <c r="AK3" s="144" t="s">
        <v>96</v>
      </c>
      <c r="AL3" s="145" t="s">
        <v>97</v>
      </c>
      <c r="AM3" s="146" t="s">
        <v>98</v>
      </c>
      <c r="AN3" s="146" t="s">
        <v>99</v>
      </c>
      <c r="AO3" s="147" t="s">
        <v>100</v>
      </c>
      <c r="AP3" s="144" t="s">
        <v>96</v>
      </c>
      <c r="AQ3" s="145" t="s">
        <v>97</v>
      </c>
      <c r="AR3" s="146" t="s">
        <v>98</v>
      </c>
      <c r="AS3" s="146" t="s">
        <v>99</v>
      </c>
      <c r="AT3" s="147" t="s">
        <v>100</v>
      </c>
      <c r="AU3" s="144" t="s">
        <v>96</v>
      </c>
      <c r="AV3" s="145" t="s">
        <v>97</v>
      </c>
      <c r="AW3" s="146" t="s">
        <v>98</v>
      </c>
      <c r="AX3" s="146" t="s">
        <v>99</v>
      </c>
      <c r="AY3" s="147" t="s">
        <v>100</v>
      </c>
      <c r="AZ3" s="144" t="s">
        <v>96</v>
      </c>
      <c r="BA3" s="145" t="s">
        <v>97</v>
      </c>
      <c r="BB3" s="146" t="s">
        <v>98</v>
      </c>
      <c r="BC3" s="146" t="s">
        <v>99</v>
      </c>
      <c r="BD3" s="147" t="s">
        <v>100</v>
      </c>
      <c r="BE3" s="144" t="s">
        <v>96</v>
      </c>
      <c r="BF3" s="145" t="s">
        <v>97</v>
      </c>
      <c r="BG3" s="146" t="s">
        <v>98</v>
      </c>
      <c r="BH3" s="146" t="s">
        <v>99</v>
      </c>
      <c r="BI3" s="147" t="s">
        <v>100</v>
      </c>
      <c r="BJ3" s="144" t="s">
        <v>96</v>
      </c>
      <c r="BK3" s="145" t="s">
        <v>97</v>
      </c>
      <c r="BL3" s="146" t="s">
        <v>98</v>
      </c>
      <c r="BM3" s="146" t="s">
        <v>99</v>
      </c>
      <c r="BN3" s="147" t="s">
        <v>100</v>
      </c>
      <c r="BO3" s="144" t="s">
        <v>96</v>
      </c>
      <c r="BP3" s="145" t="s">
        <v>97</v>
      </c>
      <c r="BQ3" s="146" t="s">
        <v>98</v>
      </c>
      <c r="BR3" s="146" t="s">
        <v>99</v>
      </c>
      <c r="BS3" s="147" t="s">
        <v>100</v>
      </c>
      <c r="BT3" s="144" t="s">
        <v>96</v>
      </c>
      <c r="BU3" s="145" t="s">
        <v>97</v>
      </c>
      <c r="BV3" s="146" t="s">
        <v>98</v>
      </c>
      <c r="BW3" s="146" t="s">
        <v>99</v>
      </c>
      <c r="BX3" s="147" t="s">
        <v>100</v>
      </c>
      <c r="BY3" s="144" t="s">
        <v>96</v>
      </c>
      <c r="BZ3" s="145" t="s">
        <v>97</v>
      </c>
      <c r="CA3" s="146" t="s">
        <v>98</v>
      </c>
      <c r="CB3" s="146" t="s">
        <v>99</v>
      </c>
      <c r="CC3" s="147" t="s">
        <v>100</v>
      </c>
    </row>
    <row r="4" spans="1:81" s="149" customFormat="1" ht="14.25">
      <c r="A4" s="150" t="s">
        <v>101</v>
      </c>
      <c r="B4" s="151">
        <v>0.2</v>
      </c>
      <c r="C4" s="151">
        <f>ROUND(B4*100%/70%,5)</f>
        <v>0.28571000000000002</v>
      </c>
      <c r="D4" s="152"/>
      <c r="E4" s="152">
        <f>SUM(E5:E9)</f>
        <v>3</v>
      </c>
      <c r="F4" s="153">
        <f>ROUND(E4*C4,2)</f>
        <v>0.86</v>
      </c>
      <c r="G4" s="151">
        <v>0.2</v>
      </c>
      <c r="H4" s="151">
        <v>0.2</v>
      </c>
      <c r="I4" s="152"/>
      <c r="J4" s="152">
        <f>SUM(J5:J9)</f>
        <v>3.2</v>
      </c>
      <c r="K4" s="153">
        <f>ROUND(J4*H4,2)</f>
        <v>0.64</v>
      </c>
      <c r="L4" s="151">
        <v>0.2</v>
      </c>
      <c r="M4" s="151">
        <f>ROUND(L4*100%/70%,5)</f>
        <v>0.28571000000000002</v>
      </c>
      <c r="N4" s="152"/>
      <c r="O4" s="152">
        <f>SUM(O5:O9)</f>
        <v>2.6</v>
      </c>
      <c r="P4" s="153">
        <f>ROUND(O4*M4,2)</f>
        <v>0.74</v>
      </c>
      <c r="Q4" s="151">
        <v>0.2</v>
      </c>
      <c r="R4" s="151">
        <f>ROUND(Q4*100%/70%,5)</f>
        <v>0.28571000000000002</v>
      </c>
      <c r="S4" s="152"/>
      <c r="T4" s="152">
        <f>SUM(T5:T9)</f>
        <v>1.8</v>
      </c>
      <c r="U4" s="153">
        <f>ROUND(T4*R4,2)</f>
        <v>0.51</v>
      </c>
      <c r="V4" s="151">
        <v>0.2</v>
      </c>
      <c r="W4" s="151">
        <f>ROUND(V4*100%/70%,5)</f>
        <v>0.28571000000000002</v>
      </c>
      <c r="X4" s="152"/>
      <c r="Y4" s="152">
        <f>SUM(Y5:Y9)</f>
        <v>3</v>
      </c>
      <c r="Z4" s="153">
        <f>ROUND(Y4*W4,2)</f>
        <v>0.86</v>
      </c>
      <c r="AA4" s="151">
        <v>0.2</v>
      </c>
      <c r="AB4" s="151">
        <f>ROUND(AA4*100%/80%,5)</f>
        <v>0.25</v>
      </c>
      <c r="AC4" s="152"/>
      <c r="AD4" s="152">
        <f>SUM(AD5:AD9)</f>
        <v>3.4000000000000004</v>
      </c>
      <c r="AE4" s="153">
        <f>ROUND(AD4*AB4,2)</f>
        <v>0.85</v>
      </c>
      <c r="AF4" s="151">
        <v>0.2</v>
      </c>
      <c r="AG4" s="151">
        <f>ROUND(AF4*100%/80%,5)</f>
        <v>0.25</v>
      </c>
      <c r="AH4" s="152"/>
      <c r="AI4" s="152">
        <f>SUM(AI5:AI9)</f>
        <v>3.2</v>
      </c>
      <c r="AJ4" s="153">
        <f>ROUND(AI4*AG4,2)</f>
        <v>0.8</v>
      </c>
      <c r="AK4" s="151">
        <v>0.2</v>
      </c>
      <c r="AL4" s="151">
        <f>ROUND(AK4*100%/90%,5)</f>
        <v>0.22222</v>
      </c>
      <c r="AM4" s="152"/>
      <c r="AN4" s="152">
        <f>SUM(AN5:AN9)</f>
        <v>4</v>
      </c>
      <c r="AO4" s="153">
        <f>ROUND(AN4*AL4,2)</f>
        <v>0.89</v>
      </c>
      <c r="AP4" s="151">
        <v>0.2</v>
      </c>
      <c r="AQ4" s="151">
        <f>ROUND(AP4*100%/80%,5)</f>
        <v>0.25</v>
      </c>
      <c r="AR4" s="152"/>
      <c r="AS4" s="152">
        <f>SUM(AS5:AS9)</f>
        <v>2.8000000000000003</v>
      </c>
      <c r="AT4" s="153">
        <f>ROUND(AS4*AQ4,2)</f>
        <v>0.7</v>
      </c>
      <c r="AU4" s="151">
        <v>0.2</v>
      </c>
      <c r="AV4" s="151">
        <f>ROUND(AU4*100%/70%,5)</f>
        <v>0.28571000000000002</v>
      </c>
      <c r="AW4" s="152"/>
      <c r="AX4" s="152">
        <f>SUM(AX5:AX9)</f>
        <v>2.4</v>
      </c>
      <c r="AY4" s="153">
        <f>ROUND(AX4*AV4,2)</f>
        <v>0.69</v>
      </c>
      <c r="AZ4" s="151">
        <v>0.2</v>
      </c>
      <c r="BA4" s="151">
        <f>ROUND(AZ4*100%/70%,5)</f>
        <v>0.28571000000000002</v>
      </c>
      <c r="BB4" s="152"/>
      <c r="BC4" s="152">
        <f>SUM(BC5:BC9)</f>
        <v>3.8</v>
      </c>
      <c r="BD4" s="153">
        <f>ROUND(BC4*BA4,2)</f>
        <v>1.0900000000000001</v>
      </c>
      <c r="BE4" s="151">
        <v>0.2</v>
      </c>
      <c r="BF4" s="151">
        <f>ROUND(BE4*100%/70%,5)</f>
        <v>0.28571000000000002</v>
      </c>
      <c r="BG4" s="152"/>
      <c r="BH4" s="152">
        <f>SUM(BH5:BH9)</f>
        <v>3.4</v>
      </c>
      <c r="BI4" s="153">
        <f>ROUND(BH4*BF4,2)</f>
        <v>0.97</v>
      </c>
      <c r="BJ4" s="151">
        <v>0.2</v>
      </c>
      <c r="BK4" s="151">
        <v>0.2</v>
      </c>
      <c r="BL4" s="152"/>
      <c r="BM4" s="152">
        <f>SUM(BM5:BM9)</f>
        <v>3.1999999999999997</v>
      </c>
      <c r="BN4" s="153">
        <f>ROUND(BM4*BK4,2)</f>
        <v>0.64</v>
      </c>
      <c r="BO4" s="151">
        <v>0.2</v>
      </c>
      <c r="BP4" s="151">
        <f>ROUND(BO4*100%/90%,5)</f>
        <v>0.22222</v>
      </c>
      <c r="BQ4" s="152"/>
      <c r="BR4" s="152">
        <f>SUM(BR5:BR9)</f>
        <v>2.6</v>
      </c>
      <c r="BS4" s="153">
        <f>ROUND(BR4*BP4,2)</f>
        <v>0.57999999999999996</v>
      </c>
      <c r="BT4" s="151">
        <v>0.2</v>
      </c>
      <c r="BU4" s="151">
        <f t="shared" ref="BU4:BU9" si="0">BT4</f>
        <v>0.2</v>
      </c>
      <c r="BV4" s="152"/>
      <c r="BW4" s="152">
        <f>SUM(BW5:BW9)</f>
        <v>2.6</v>
      </c>
      <c r="BX4" s="153">
        <f>ROUND(BW4*BU4,2)</f>
        <v>0.52</v>
      </c>
      <c r="BY4" s="151">
        <v>0.2</v>
      </c>
      <c r="BZ4" s="151">
        <f>ROUND(BY4*100%/70%,5)</f>
        <v>0.28571000000000002</v>
      </c>
      <c r="CA4" s="152"/>
      <c r="CB4" s="152">
        <f>SUM(CB5:CB9)</f>
        <v>3.25</v>
      </c>
      <c r="CC4" s="153">
        <f>ROUND(CB4*BZ4,2)</f>
        <v>0.93</v>
      </c>
    </row>
    <row r="5" spans="1:81" s="154" customFormat="1" ht="30">
      <c r="A5" s="155" t="s">
        <v>102</v>
      </c>
      <c r="B5" s="156">
        <v>0.2</v>
      </c>
      <c r="C5" s="156">
        <f>ROUND(B5*100%/80%,5)</f>
        <v>0.25</v>
      </c>
      <c r="D5" s="157">
        <f>VLOOKUP($B2,'1.1. част изм'!$A$6:$G$21,7,0)</f>
        <v>3</v>
      </c>
      <c r="E5" s="157">
        <f t="shared" ref="E5:E9" si="1">ROUND(D5*C5,2)</f>
        <v>0.75</v>
      </c>
      <c r="F5" s="158"/>
      <c r="G5" s="156">
        <v>0.2</v>
      </c>
      <c r="H5" s="156">
        <f t="shared" ref="H5:H9" si="2">G5</f>
        <v>0.2</v>
      </c>
      <c r="I5" s="157">
        <f>VLOOKUP($G2,'1.1. част изм'!$A$6:$G$21,7,0)</f>
        <v>2</v>
      </c>
      <c r="J5" s="157">
        <f t="shared" ref="J5:J9" si="3">ROUND(I5*H5,2)</f>
        <v>0.4</v>
      </c>
      <c r="K5" s="158"/>
      <c r="L5" s="156">
        <v>0.2</v>
      </c>
      <c r="M5" s="156">
        <f t="shared" ref="M5:M9" si="4">L5</f>
        <v>0.2</v>
      </c>
      <c r="N5" s="157">
        <f>VLOOKUP($L2,'1.1. част изм'!$A$6:$G$21,7,0)</f>
        <v>2</v>
      </c>
      <c r="O5" s="157">
        <f t="shared" ref="O5:O9" si="5">ROUND(N5*M5,2)</f>
        <v>0.4</v>
      </c>
      <c r="P5" s="158"/>
      <c r="Q5" s="156">
        <v>0.2</v>
      </c>
      <c r="R5" s="156">
        <f t="shared" ref="R5:R9" si="6">Q5</f>
        <v>0.2</v>
      </c>
      <c r="S5" s="157">
        <f>VLOOKUP($Q2,'1.1. част изм'!$A$6:$G$21,7,0)</f>
        <v>4</v>
      </c>
      <c r="T5" s="157">
        <f t="shared" ref="T5:T9" si="7">ROUND(S5*R5,2)</f>
        <v>0.8</v>
      </c>
      <c r="U5" s="158"/>
      <c r="V5" s="156">
        <v>0.2</v>
      </c>
      <c r="W5" s="156">
        <f t="shared" ref="W5:W9" si="8">V5</f>
        <v>0.2</v>
      </c>
      <c r="X5" s="157">
        <f>VLOOKUP($V2,'1.1. част изм'!$A$6:$G$21,7,0)</f>
        <v>0</v>
      </c>
      <c r="Y5" s="157">
        <f t="shared" ref="Y5:Y9" si="9">ROUND(X5*W5,2)</f>
        <v>0</v>
      </c>
      <c r="Z5" s="158"/>
      <c r="AA5" s="156">
        <v>0.2</v>
      </c>
      <c r="AB5" s="156">
        <f t="shared" ref="AB5:AB9" si="10">AA5</f>
        <v>0.2</v>
      </c>
      <c r="AC5" s="157">
        <f>VLOOKUP($AA2,'1.1. част изм'!$A$6:$G$21,7,0)</f>
        <v>3</v>
      </c>
      <c r="AD5" s="157">
        <f t="shared" ref="AD5:AD9" si="11">ROUND(AC5*AB5,2)</f>
        <v>0.6</v>
      </c>
      <c r="AE5" s="158"/>
      <c r="AF5" s="156">
        <v>0.2</v>
      </c>
      <c r="AG5" s="156">
        <f t="shared" ref="AG5:AG9" si="12">AF5</f>
        <v>0.2</v>
      </c>
      <c r="AH5" s="157">
        <f>VLOOKUP($AF2,'1.1. част изм'!$A$6:$G$21,7,0)</f>
        <v>2</v>
      </c>
      <c r="AI5" s="157">
        <f t="shared" ref="AI5:AI9" si="13">ROUND(AH5*AG5,2)</f>
        <v>0.4</v>
      </c>
      <c r="AJ5" s="158"/>
      <c r="AK5" s="156">
        <v>0.2</v>
      </c>
      <c r="AL5" s="156">
        <f t="shared" ref="AL5:AL9" si="14">AK5</f>
        <v>0.2</v>
      </c>
      <c r="AM5" s="157">
        <f>VLOOKUP($AK2,'1.1. част изм'!$A$6:$G$21,7,0)</f>
        <v>1</v>
      </c>
      <c r="AN5" s="157">
        <f t="shared" ref="AN5:AN9" si="15">ROUND(AM5*AL5,2)</f>
        <v>0.2</v>
      </c>
      <c r="AO5" s="158"/>
      <c r="AP5" s="156">
        <v>0.2</v>
      </c>
      <c r="AQ5" s="156">
        <f t="shared" ref="AQ5:AQ9" si="16">AP5</f>
        <v>0.2</v>
      </c>
      <c r="AR5" s="157">
        <f>VLOOKUP($AP2,'1.1. част изм'!$A$6:$G$21,7,0)</f>
        <v>1</v>
      </c>
      <c r="AS5" s="157">
        <f t="shared" ref="AS5:AS9" si="17">ROUND(AR5*AQ5,2)</f>
        <v>0.2</v>
      </c>
      <c r="AT5" s="158"/>
      <c r="AU5" s="156">
        <v>0.2</v>
      </c>
      <c r="AV5" s="156">
        <f t="shared" ref="AV5:AV9" si="18">AU5</f>
        <v>0.2</v>
      </c>
      <c r="AW5" s="157">
        <f>VLOOKUP($AU2,'1.1. част изм'!$A$6:$G$21,7,0)</f>
        <v>0</v>
      </c>
      <c r="AX5" s="157">
        <f t="shared" ref="AX5:AX9" si="19">ROUND(AW5*AV5,2)</f>
        <v>0</v>
      </c>
      <c r="AY5" s="158"/>
      <c r="AZ5" s="156">
        <v>0.2</v>
      </c>
      <c r="BA5" s="156">
        <f t="shared" ref="BA5:BA9" si="20">AZ5</f>
        <v>0.2</v>
      </c>
      <c r="BB5" s="157">
        <f>VLOOKUP($AZ2,'1.1. част изм'!$A$6:$G$21,7,0)</f>
        <v>5</v>
      </c>
      <c r="BC5" s="157">
        <f t="shared" ref="BC5:BC9" si="21">ROUND(BB5*BA5,2)</f>
        <v>1</v>
      </c>
      <c r="BD5" s="158"/>
      <c r="BE5" s="156">
        <v>0.2</v>
      </c>
      <c r="BF5" s="156">
        <f t="shared" ref="BF5:BF9" si="22">BE5</f>
        <v>0.2</v>
      </c>
      <c r="BG5" s="157">
        <f>VLOOKUP($BE2,'1.1. част изм'!$A$6:$G$21,7,0)</f>
        <v>0</v>
      </c>
      <c r="BH5" s="157">
        <f t="shared" ref="BH5:BH9" si="23">ROUND(BG5*BF5,2)</f>
        <v>0</v>
      </c>
      <c r="BI5" s="158"/>
      <c r="BJ5" s="156">
        <v>0.2</v>
      </c>
      <c r="BK5" s="156">
        <f t="shared" ref="BK5:BK9" si="24">BJ5</f>
        <v>0.2</v>
      </c>
      <c r="BL5" s="157">
        <f>VLOOKUP($BJ2,'1.1. част изм'!$A$6:$G$21,7,0)</f>
        <v>4</v>
      </c>
      <c r="BM5" s="157">
        <f t="shared" ref="BM5:BM9" si="25">ROUND(BL5*BK5,2)</f>
        <v>0.8</v>
      </c>
      <c r="BN5" s="158"/>
      <c r="BO5" s="156">
        <v>0.2</v>
      </c>
      <c r="BP5" s="156">
        <f t="shared" ref="BP5:BP9" si="26">BO5</f>
        <v>0.2</v>
      </c>
      <c r="BQ5" s="157">
        <f>VLOOKUP($BO2,'1.1. част изм'!$A$6:$G$21,7,0)</f>
        <v>2</v>
      </c>
      <c r="BR5" s="157">
        <f t="shared" ref="BR5:BR9" si="27">ROUND(BQ5*BP5,2)</f>
        <v>0.4</v>
      </c>
      <c r="BS5" s="158"/>
      <c r="BT5" s="156">
        <v>0.2</v>
      </c>
      <c r="BU5" s="156">
        <f t="shared" si="0"/>
        <v>0.2</v>
      </c>
      <c r="BV5" s="157">
        <f>VLOOKUP($BT2,'1.1. част изм'!$A$6:$G$21,7,0)</f>
        <v>0</v>
      </c>
      <c r="BW5" s="157">
        <f t="shared" ref="BW5:BW9" si="28">ROUND(BV5*BU5,2)</f>
        <v>0</v>
      </c>
      <c r="BX5" s="158"/>
      <c r="BY5" s="156">
        <v>0.2</v>
      </c>
      <c r="BZ5" s="156">
        <f>ROUND(BY5*100%/80%,5)</f>
        <v>0.25</v>
      </c>
      <c r="CA5" s="157">
        <f>VLOOKUP($BY2,'1.1. част изм'!$A$6:$G$21,7,0)</f>
        <v>3</v>
      </c>
      <c r="CB5" s="157">
        <f t="shared" ref="CB5:CB9" si="29">ROUND(CA5*BZ5,2)</f>
        <v>0.75</v>
      </c>
      <c r="CC5" s="158"/>
    </row>
    <row r="6" spans="1:81" s="154" customFormat="1" ht="30">
      <c r="A6" s="155" t="s">
        <v>103</v>
      </c>
      <c r="B6" s="156">
        <v>0.2</v>
      </c>
      <c r="C6" s="156"/>
      <c r="D6" s="157">
        <f>VLOOKUP($B2,'1.2. доля БА, запл на МП'!$A$6:$F$21,6,0)</f>
        <v>0</v>
      </c>
      <c r="E6" s="157">
        <f t="shared" si="1"/>
        <v>0</v>
      </c>
      <c r="F6" s="158"/>
      <c r="G6" s="156">
        <v>0.2</v>
      </c>
      <c r="H6" s="156">
        <f t="shared" si="2"/>
        <v>0.2</v>
      </c>
      <c r="I6" s="157">
        <f>VLOOKUP($G2,'1.2. доля БА, запл на МП'!$A$6:$F$21,6,0)</f>
        <v>0</v>
      </c>
      <c r="J6" s="157">
        <f t="shared" si="3"/>
        <v>0</v>
      </c>
      <c r="K6" s="158"/>
      <c r="L6" s="156">
        <v>0.2</v>
      </c>
      <c r="M6" s="156">
        <f t="shared" si="4"/>
        <v>0.2</v>
      </c>
      <c r="N6" s="157">
        <f>VLOOKUP($L2,'1.2. доля БА, запл на МП'!$A$6:$F$21,6,0)</f>
        <v>2</v>
      </c>
      <c r="O6" s="157">
        <f t="shared" si="5"/>
        <v>0.4</v>
      </c>
      <c r="P6" s="158"/>
      <c r="Q6" s="156">
        <v>0.2</v>
      </c>
      <c r="R6" s="156">
        <f t="shared" si="6"/>
        <v>0.2</v>
      </c>
      <c r="S6" s="157">
        <f>VLOOKUP($Q2,'1.2. доля БА, запл на МП'!$A$6:$F$21,6,0)</f>
        <v>0</v>
      </c>
      <c r="T6" s="157">
        <f t="shared" si="7"/>
        <v>0</v>
      </c>
      <c r="U6" s="158"/>
      <c r="V6" s="156">
        <v>0.2</v>
      </c>
      <c r="W6" s="156">
        <f t="shared" si="8"/>
        <v>0.2</v>
      </c>
      <c r="X6" s="157">
        <f>VLOOKUP($V2,'1.2. доля БА, запл на МП'!$A$6:$F$21,6,0)</f>
        <v>3</v>
      </c>
      <c r="Y6" s="157">
        <f t="shared" si="9"/>
        <v>0.6</v>
      </c>
      <c r="Z6" s="158"/>
      <c r="AA6" s="156">
        <v>0.2</v>
      </c>
      <c r="AB6" s="156">
        <f t="shared" si="10"/>
        <v>0.2</v>
      </c>
      <c r="AC6" s="157">
        <f>VLOOKUP($AA2,'1.2. доля БА, запл на МП'!$A$6:$F$21,6,0)</f>
        <v>5</v>
      </c>
      <c r="AD6" s="157">
        <f t="shared" si="11"/>
        <v>1</v>
      </c>
      <c r="AE6" s="158"/>
      <c r="AF6" s="156">
        <v>0.2</v>
      </c>
      <c r="AG6" s="156">
        <f t="shared" si="12"/>
        <v>0.2</v>
      </c>
      <c r="AH6" s="157">
        <f>VLOOKUP($AF2,'1.2. доля БА, запл на МП'!$A$6:$F$21,6,0)</f>
        <v>5</v>
      </c>
      <c r="AI6" s="157">
        <f t="shared" si="13"/>
        <v>1</v>
      </c>
      <c r="AJ6" s="158"/>
      <c r="AK6" s="156">
        <v>0.2</v>
      </c>
      <c r="AL6" s="156">
        <f t="shared" si="14"/>
        <v>0.2</v>
      </c>
      <c r="AM6" s="157">
        <f>VLOOKUP($AK2,'1.2. доля БА, запл на МП'!$A$6:$F$21,6,0)</f>
        <v>5</v>
      </c>
      <c r="AN6" s="157">
        <f t="shared" si="15"/>
        <v>1</v>
      </c>
      <c r="AO6" s="158"/>
      <c r="AP6" s="156">
        <v>0.2</v>
      </c>
      <c r="AQ6" s="156">
        <f t="shared" si="16"/>
        <v>0.2</v>
      </c>
      <c r="AR6" s="157">
        <f>VLOOKUP($AP2,'1.2. доля БА, запл на МП'!$A$6:$F$21,6,0)</f>
        <v>5</v>
      </c>
      <c r="AS6" s="157">
        <f t="shared" si="17"/>
        <v>1</v>
      </c>
      <c r="AT6" s="158"/>
      <c r="AU6" s="156">
        <v>0.2</v>
      </c>
      <c r="AV6" s="156">
        <f t="shared" si="18"/>
        <v>0.2</v>
      </c>
      <c r="AW6" s="157">
        <f>VLOOKUP($AU2,'1.2. доля БА, запл на МП'!$A$6:$F$21,6,0)</f>
        <v>4</v>
      </c>
      <c r="AX6" s="157">
        <f t="shared" si="19"/>
        <v>0.8</v>
      </c>
      <c r="AY6" s="158"/>
      <c r="AZ6" s="156">
        <v>0.2</v>
      </c>
      <c r="BA6" s="156">
        <f t="shared" si="20"/>
        <v>0.2</v>
      </c>
      <c r="BB6" s="157">
        <f>VLOOKUP($AZ2,'1.2. доля БА, запл на МП'!$A$6:$F$21,6,0)</f>
        <v>4</v>
      </c>
      <c r="BC6" s="157">
        <f t="shared" si="21"/>
        <v>0.8</v>
      </c>
      <c r="BD6" s="158"/>
      <c r="BE6" s="156">
        <v>0.2</v>
      </c>
      <c r="BF6" s="156">
        <f t="shared" si="22"/>
        <v>0.2</v>
      </c>
      <c r="BG6" s="157">
        <f>VLOOKUP($BE2,'1.2. доля БА, запл на МП'!$A$6:$F$21,6,0)</f>
        <v>5</v>
      </c>
      <c r="BH6" s="157">
        <f t="shared" si="23"/>
        <v>1</v>
      </c>
      <c r="BI6" s="158"/>
      <c r="BJ6" s="156">
        <v>0.2</v>
      </c>
      <c r="BK6" s="156">
        <f t="shared" si="24"/>
        <v>0.2</v>
      </c>
      <c r="BL6" s="157">
        <f>VLOOKUP($BJ2,'1.2. доля БА, запл на МП'!$A$6:$F$21,6,0)</f>
        <v>5</v>
      </c>
      <c r="BM6" s="157">
        <f t="shared" si="25"/>
        <v>1</v>
      </c>
      <c r="BN6" s="158"/>
      <c r="BO6" s="156">
        <v>0.2</v>
      </c>
      <c r="BP6" s="156">
        <f t="shared" si="26"/>
        <v>0.2</v>
      </c>
      <c r="BQ6" s="157">
        <f>VLOOKUP($BO2,'1.2. доля БА, запл на МП'!$A$6:$F$21,6,0)</f>
        <v>5</v>
      </c>
      <c r="BR6" s="157">
        <f t="shared" si="27"/>
        <v>1</v>
      </c>
      <c r="BS6" s="158"/>
      <c r="BT6" s="156">
        <v>0.2</v>
      </c>
      <c r="BU6" s="156">
        <f t="shared" si="0"/>
        <v>0.2</v>
      </c>
      <c r="BV6" s="157">
        <f>VLOOKUP($BT2,'1.2. доля БА, запл на МП'!$A$6:$F$21,6,0)</f>
        <v>4</v>
      </c>
      <c r="BW6" s="157">
        <f t="shared" si="28"/>
        <v>0.8</v>
      </c>
      <c r="BX6" s="158"/>
      <c r="BY6" s="156">
        <v>0.2</v>
      </c>
      <c r="BZ6" s="156"/>
      <c r="CA6" s="157">
        <f>VLOOKUP($BY2,'1.2. доля БА, запл на МП'!$A$6:$F$21,6,0)</f>
        <v>0</v>
      </c>
      <c r="CB6" s="157">
        <f t="shared" si="29"/>
        <v>0</v>
      </c>
      <c r="CC6" s="158"/>
    </row>
    <row r="7" spans="1:81" s="154" customFormat="1" ht="75">
      <c r="A7" s="155" t="s">
        <v>104</v>
      </c>
      <c r="B7" s="156">
        <v>0.2</v>
      </c>
      <c r="C7" s="156">
        <f t="shared" ref="C7:C9" si="30">ROUND(B7*100%/80%,5)</f>
        <v>0.25</v>
      </c>
      <c r="D7" s="159" t="str">
        <f>VLOOKUP($B2,'1.3. соблюд сроков'!$A$6:$F$21,6,0)</f>
        <v>5</v>
      </c>
      <c r="E7" s="157">
        <f t="shared" si="1"/>
        <v>1.25</v>
      </c>
      <c r="F7" s="158"/>
      <c r="G7" s="156">
        <v>0.2</v>
      </c>
      <c r="H7" s="156">
        <f t="shared" si="2"/>
        <v>0.2</v>
      </c>
      <c r="I7" s="159" t="str">
        <f>VLOOKUP($G2,'1.3. соблюд сроков'!$A$6:$F$21,6,0)</f>
        <v>5</v>
      </c>
      <c r="J7" s="157">
        <f t="shared" si="3"/>
        <v>1</v>
      </c>
      <c r="K7" s="158"/>
      <c r="L7" s="156">
        <v>0.2</v>
      </c>
      <c r="M7" s="156">
        <f t="shared" si="4"/>
        <v>0.2</v>
      </c>
      <c r="N7" s="159" t="str">
        <f>VLOOKUP($L2,'1.3. соблюд сроков'!$A$6:$F$21,6,0)</f>
        <v>5</v>
      </c>
      <c r="O7" s="157">
        <f t="shared" si="5"/>
        <v>1</v>
      </c>
      <c r="P7" s="158"/>
      <c r="Q7" s="156">
        <v>0.2</v>
      </c>
      <c r="R7" s="156">
        <f t="shared" si="6"/>
        <v>0.2</v>
      </c>
      <c r="S7" s="159" t="str">
        <f>VLOOKUP($Q2,'1.3. соблюд сроков'!$A$6:$F$21,6,0)</f>
        <v>5</v>
      </c>
      <c r="T7" s="157">
        <f t="shared" si="7"/>
        <v>1</v>
      </c>
      <c r="U7" s="158"/>
      <c r="V7" s="156">
        <v>0.2</v>
      </c>
      <c r="W7" s="156">
        <f t="shared" si="8"/>
        <v>0.2</v>
      </c>
      <c r="X7" s="159" t="str">
        <f>VLOOKUP($V2,'1.3. соблюд сроков'!$A$6:$F$21,6,0)</f>
        <v>5</v>
      </c>
      <c r="Y7" s="157">
        <f t="shared" si="9"/>
        <v>1</v>
      </c>
      <c r="Z7" s="158"/>
      <c r="AA7" s="156">
        <v>0.2</v>
      </c>
      <c r="AB7" s="156">
        <f t="shared" si="10"/>
        <v>0.2</v>
      </c>
      <c r="AC7" s="159" t="str">
        <f>VLOOKUP($AA2,'1.3. соблюд сроков'!$A$6:$F$21,6,0)</f>
        <v>5</v>
      </c>
      <c r="AD7" s="157">
        <f t="shared" si="11"/>
        <v>1</v>
      </c>
      <c r="AE7" s="158"/>
      <c r="AF7" s="156">
        <v>0.2</v>
      </c>
      <c r="AG7" s="156">
        <f t="shared" si="12"/>
        <v>0.2</v>
      </c>
      <c r="AH7" s="159" t="str">
        <f>VLOOKUP($AF2,'1.3. соблюд сроков'!$A$6:$F$21,6,0)</f>
        <v>5</v>
      </c>
      <c r="AI7" s="157">
        <f t="shared" si="13"/>
        <v>1</v>
      </c>
      <c r="AJ7" s="158"/>
      <c r="AK7" s="156">
        <v>0.2</v>
      </c>
      <c r="AL7" s="156">
        <f t="shared" si="14"/>
        <v>0.2</v>
      </c>
      <c r="AM7" s="159" t="str">
        <f>VLOOKUP($AK2,'1.3. соблюд сроков'!$A$6:$F$21,6,0)</f>
        <v>5</v>
      </c>
      <c r="AN7" s="157">
        <f t="shared" si="15"/>
        <v>1</v>
      </c>
      <c r="AO7" s="158"/>
      <c r="AP7" s="156">
        <v>0.2</v>
      </c>
      <c r="AQ7" s="156">
        <f t="shared" si="16"/>
        <v>0.2</v>
      </c>
      <c r="AR7" s="159" t="str">
        <f>VLOOKUP($AP2,'1.3. соблюд сроков'!$A$6:$F$21,6,0)</f>
        <v>5</v>
      </c>
      <c r="AS7" s="157">
        <f t="shared" si="17"/>
        <v>1</v>
      </c>
      <c r="AT7" s="158"/>
      <c r="AU7" s="156">
        <v>0.2</v>
      </c>
      <c r="AV7" s="156">
        <f t="shared" si="18"/>
        <v>0.2</v>
      </c>
      <c r="AW7" s="159" t="str">
        <f>VLOOKUP($AU2,'1.3. соблюд сроков'!$A$6:$F$21,6,0)</f>
        <v>5</v>
      </c>
      <c r="AX7" s="157">
        <f t="shared" si="19"/>
        <v>1</v>
      </c>
      <c r="AY7" s="158"/>
      <c r="AZ7" s="156">
        <v>0.2</v>
      </c>
      <c r="BA7" s="156">
        <f t="shared" si="20"/>
        <v>0.2</v>
      </c>
      <c r="BB7" s="159" t="str">
        <f>VLOOKUP($AZ2,'1.3. соблюд сроков'!$A$6:$F$21,6,0)</f>
        <v>5</v>
      </c>
      <c r="BC7" s="157">
        <f t="shared" si="21"/>
        <v>1</v>
      </c>
      <c r="BD7" s="158"/>
      <c r="BE7" s="156">
        <v>0.2</v>
      </c>
      <c r="BF7" s="156">
        <f t="shared" si="22"/>
        <v>0.2</v>
      </c>
      <c r="BG7" s="159" t="str">
        <f>VLOOKUP($BE2,'1.3. соблюд сроков'!$A$6:$F$21,6,0)</f>
        <v>5</v>
      </c>
      <c r="BH7" s="157">
        <f t="shared" si="23"/>
        <v>1</v>
      </c>
      <c r="BI7" s="158"/>
      <c r="BJ7" s="156">
        <v>0.2</v>
      </c>
      <c r="BK7" s="156">
        <f t="shared" si="24"/>
        <v>0.2</v>
      </c>
      <c r="BL7" s="159" t="str">
        <f>VLOOKUP($BJ2,'1.3. соблюд сроков'!$A$6:$F$21,6,0)</f>
        <v>5</v>
      </c>
      <c r="BM7" s="157">
        <f t="shared" si="25"/>
        <v>1</v>
      </c>
      <c r="BN7" s="158"/>
      <c r="BO7" s="156">
        <v>0.2</v>
      </c>
      <c r="BP7" s="156">
        <f t="shared" si="26"/>
        <v>0.2</v>
      </c>
      <c r="BQ7" s="159" t="str">
        <f>VLOOKUP($BO2,'1.3. соблюд сроков'!$A$6:$F$21,6,0)</f>
        <v>5</v>
      </c>
      <c r="BR7" s="157">
        <f t="shared" si="27"/>
        <v>1</v>
      </c>
      <c r="BS7" s="158"/>
      <c r="BT7" s="156">
        <v>0.2</v>
      </c>
      <c r="BU7" s="156">
        <f t="shared" si="0"/>
        <v>0.2</v>
      </c>
      <c r="BV7" s="159" t="str">
        <f>VLOOKUP($BT2,'1.3. соблюд сроков'!$A$6:$F$21,6,0)</f>
        <v>5</v>
      </c>
      <c r="BW7" s="157">
        <f t="shared" si="28"/>
        <v>1</v>
      </c>
      <c r="BX7" s="158"/>
      <c r="BY7" s="156">
        <v>0.2</v>
      </c>
      <c r="BZ7" s="156">
        <f t="shared" ref="BZ7:BZ9" si="31">ROUND(BY7*100%/80%,5)</f>
        <v>0.25</v>
      </c>
      <c r="CA7" s="159" t="str">
        <f>VLOOKUP($BY2,'1.3. соблюд сроков'!$A$6:$F$21,6,0)</f>
        <v>5</v>
      </c>
      <c r="CB7" s="157">
        <f t="shared" si="29"/>
        <v>1.25</v>
      </c>
      <c r="CC7" s="158"/>
    </row>
    <row r="8" spans="1:81" s="154" customFormat="1" ht="30">
      <c r="A8" s="155" t="s">
        <v>105</v>
      </c>
      <c r="B8" s="156">
        <v>0.2</v>
      </c>
      <c r="C8" s="156">
        <f t="shared" si="30"/>
        <v>0.25</v>
      </c>
      <c r="D8" s="157">
        <f>VLOOKUP($B2,'1.4 неис. БА'!$A$6:$F$21,6,0)</f>
        <v>4</v>
      </c>
      <c r="E8" s="157">
        <f t="shared" si="1"/>
        <v>1</v>
      </c>
      <c r="F8" s="158"/>
      <c r="G8" s="156">
        <v>0.2</v>
      </c>
      <c r="H8" s="156">
        <f t="shared" si="2"/>
        <v>0.2</v>
      </c>
      <c r="I8" s="157">
        <f>VLOOKUP($G2,'1.4 неис. БА'!$A$6:$F$21,6,0)</f>
        <v>4</v>
      </c>
      <c r="J8" s="157">
        <f t="shared" si="3"/>
        <v>0.8</v>
      </c>
      <c r="K8" s="158"/>
      <c r="L8" s="156">
        <v>0.2</v>
      </c>
      <c r="M8" s="156">
        <f t="shared" si="4"/>
        <v>0.2</v>
      </c>
      <c r="N8" s="157">
        <f>VLOOKUP($L2,'1.4 неис. БА'!$A$6:$F$21,6,0)</f>
        <v>2</v>
      </c>
      <c r="O8" s="157">
        <f t="shared" si="5"/>
        <v>0.4</v>
      </c>
      <c r="P8" s="158"/>
      <c r="Q8" s="156">
        <v>0.2</v>
      </c>
      <c r="R8" s="156">
        <f t="shared" si="6"/>
        <v>0.2</v>
      </c>
      <c r="S8" s="157">
        <f>VLOOKUP($Q2,'1.4 неис. БА'!$A$6:$F$21,6,0)</f>
        <v>0</v>
      </c>
      <c r="T8" s="157">
        <f t="shared" si="7"/>
        <v>0</v>
      </c>
      <c r="U8" s="158"/>
      <c r="V8" s="156">
        <v>0.2</v>
      </c>
      <c r="W8" s="156">
        <f t="shared" si="8"/>
        <v>0.2</v>
      </c>
      <c r="X8" s="157">
        <f>VLOOKUP($V2,'1.4 неис. БА'!$A$6:$F$21,6,0)</f>
        <v>5</v>
      </c>
      <c r="Y8" s="157">
        <f t="shared" si="9"/>
        <v>1</v>
      </c>
      <c r="Z8" s="158"/>
      <c r="AA8" s="156">
        <v>0.2</v>
      </c>
      <c r="AB8" s="156">
        <f t="shared" si="10"/>
        <v>0.2</v>
      </c>
      <c r="AC8" s="157">
        <f>VLOOKUP($AA2,'1.4 неис. БА'!$A$6:$F$21,6,0)</f>
        <v>4</v>
      </c>
      <c r="AD8" s="157">
        <f t="shared" si="11"/>
        <v>0.8</v>
      </c>
      <c r="AE8" s="158"/>
      <c r="AF8" s="156">
        <v>0.2</v>
      </c>
      <c r="AG8" s="156">
        <f t="shared" si="12"/>
        <v>0.2</v>
      </c>
      <c r="AH8" s="157">
        <f>VLOOKUP($AF2,'1.4 неис. БА'!$A$6:$F$21,6,0)</f>
        <v>4</v>
      </c>
      <c r="AI8" s="157">
        <f t="shared" si="13"/>
        <v>0.8</v>
      </c>
      <c r="AJ8" s="158"/>
      <c r="AK8" s="156">
        <v>0.2</v>
      </c>
      <c r="AL8" s="156">
        <f t="shared" si="14"/>
        <v>0.2</v>
      </c>
      <c r="AM8" s="157">
        <f>VLOOKUP($AK2,'1.4 неис. БА'!$A$6:$F$21,6,0)</f>
        <v>4</v>
      </c>
      <c r="AN8" s="157">
        <f t="shared" si="15"/>
        <v>0.8</v>
      </c>
      <c r="AO8" s="158"/>
      <c r="AP8" s="156">
        <v>0.2</v>
      </c>
      <c r="AQ8" s="156">
        <f t="shared" si="16"/>
        <v>0.2</v>
      </c>
      <c r="AR8" s="157">
        <f>VLOOKUP($AP2,'1.4 неис. БА'!$A$6:$F$21,6,0)</f>
        <v>3</v>
      </c>
      <c r="AS8" s="157">
        <f t="shared" si="17"/>
        <v>0.6</v>
      </c>
      <c r="AT8" s="158"/>
      <c r="AU8" s="156">
        <v>0.2</v>
      </c>
      <c r="AV8" s="156">
        <f t="shared" si="18"/>
        <v>0.2</v>
      </c>
      <c r="AW8" s="157">
        <f>VLOOKUP($AU2,'1.4 неис. БА'!$A$6:$F$21,6,0)</f>
        <v>3</v>
      </c>
      <c r="AX8" s="157">
        <f t="shared" si="19"/>
        <v>0.6</v>
      </c>
      <c r="AY8" s="158"/>
      <c r="AZ8" s="156">
        <v>0.2</v>
      </c>
      <c r="BA8" s="156">
        <f t="shared" si="20"/>
        <v>0.2</v>
      </c>
      <c r="BB8" s="157">
        <f>VLOOKUP($AZ2,'1.4 неис. БА'!$A$6:$F$21,6,0)</f>
        <v>5</v>
      </c>
      <c r="BC8" s="157">
        <f t="shared" si="21"/>
        <v>1</v>
      </c>
      <c r="BD8" s="158"/>
      <c r="BE8" s="156">
        <v>0.2</v>
      </c>
      <c r="BF8" s="156">
        <f t="shared" si="22"/>
        <v>0.2</v>
      </c>
      <c r="BG8" s="157">
        <f>VLOOKUP($BE2,'1.4 неис. БА'!$A$6:$F$21,6,0)</f>
        <v>2</v>
      </c>
      <c r="BH8" s="157">
        <f t="shared" si="23"/>
        <v>0.4</v>
      </c>
      <c r="BI8" s="158"/>
      <c r="BJ8" s="156">
        <v>0.2</v>
      </c>
      <c r="BK8" s="156">
        <f t="shared" si="24"/>
        <v>0.2</v>
      </c>
      <c r="BL8" s="157">
        <f>VLOOKUP($BJ2,'1.4 неис. БА'!$A$6:$F$21,6,0)</f>
        <v>2</v>
      </c>
      <c r="BM8" s="157">
        <f t="shared" si="25"/>
        <v>0.4</v>
      </c>
      <c r="BN8" s="158"/>
      <c r="BO8" s="156">
        <v>0.2</v>
      </c>
      <c r="BP8" s="156">
        <f t="shared" si="26"/>
        <v>0.2</v>
      </c>
      <c r="BQ8" s="157">
        <f>VLOOKUP($BO2,'1.4 неис. БА'!$A$6:$F$21,6,0)</f>
        <v>1</v>
      </c>
      <c r="BR8" s="157">
        <f t="shared" si="27"/>
        <v>0.2</v>
      </c>
      <c r="BS8" s="158"/>
      <c r="BT8" s="156">
        <v>0.2</v>
      </c>
      <c r="BU8" s="156">
        <f t="shared" si="0"/>
        <v>0.2</v>
      </c>
      <c r="BV8" s="157">
        <f>VLOOKUP($BT2,'1.4 неис. БА'!$A$6:$F$21,6,0)</f>
        <v>4</v>
      </c>
      <c r="BW8" s="157">
        <f t="shared" si="28"/>
        <v>0.8</v>
      </c>
      <c r="BX8" s="158"/>
      <c r="BY8" s="156">
        <v>0.2</v>
      </c>
      <c r="BZ8" s="156">
        <f t="shared" si="31"/>
        <v>0.25</v>
      </c>
      <c r="CA8" s="157">
        <f>VLOOKUP($BY2,'1.4 неис. БА'!$A$6:$F$21,6,0)</f>
        <v>5</v>
      </c>
      <c r="CB8" s="157">
        <f t="shared" si="29"/>
        <v>1.25</v>
      </c>
      <c r="CC8" s="158"/>
    </row>
    <row r="9" spans="1:81" s="154" customFormat="1" ht="30">
      <c r="A9" s="155" t="s">
        <v>106</v>
      </c>
      <c r="B9" s="156">
        <v>0.2</v>
      </c>
      <c r="C9" s="156">
        <f t="shared" si="30"/>
        <v>0.25</v>
      </c>
      <c r="D9" s="157">
        <f>VLOOKUP($B2,'1.5 планир доход'!$A$6:$F$21,6,0)</f>
        <v>0</v>
      </c>
      <c r="E9" s="157">
        <f t="shared" si="1"/>
        <v>0</v>
      </c>
      <c r="F9" s="158"/>
      <c r="G9" s="156">
        <v>0.2</v>
      </c>
      <c r="H9" s="156">
        <f t="shared" si="2"/>
        <v>0.2</v>
      </c>
      <c r="I9" s="157">
        <f>VLOOKUP($G2,'1.5 планир доход'!$A$6:$F$21,6,0)</f>
        <v>5</v>
      </c>
      <c r="J9" s="157">
        <f t="shared" si="3"/>
        <v>1</v>
      </c>
      <c r="K9" s="158"/>
      <c r="L9" s="156">
        <v>0.2</v>
      </c>
      <c r="M9" s="156">
        <f t="shared" si="4"/>
        <v>0.2</v>
      </c>
      <c r="N9" s="157">
        <f>VLOOKUP($L2,'1.5 планир доход'!$A$6:$F$21,6,0)</f>
        <v>2</v>
      </c>
      <c r="O9" s="157">
        <f t="shared" si="5"/>
        <v>0.4</v>
      </c>
      <c r="P9" s="158"/>
      <c r="Q9" s="156">
        <v>0.2</v>
      </c>
      <c r="R9" s="156">
        <f t="shared" si="6"/>
        <v>0.2</v>
      </c>
      <c r="S9" s="157">
        <f>VLOOKUP($Q2,'1.5 планир доход'!$A$6:$F$21,6,0)</f>
        <v>0</v>
      </c>
      <c r="T9" s="157">
        <f t="shared" si="7"/>
        <v>0</v>
      </c>
      <c r="U9" s="158"/>
      <c r="V9" s="156">
        <v>0.2</v>
      </c>
      <c r="W9" s="156">
        <f t="shared" si="8"/>
        <v>0.2</v>
      </c>
      <c r="X9" s="157">
        <f>VLOOKUP($V2,'1.5 планир доход'!$A$6:$F$21,6,0)</f>
        <v>2</v>
      </c>
      <c r="Y9" s="157">
        <f t="shared" si="9"/>
        <v>0.4</v>
      </c>
      <c r="Z9" s="158"/>
      <c r="AA9" s="156">
        <v>0.2</v>
      </c>
      <c r="AB9" s="156">
        <f t="shared" si="10"/>
        <v>0.2</v>
      </c>
      <c r="AC9" s="157">
        <f>VLOOKUP($AA2,'1.5 планир доход'!$A$6:$F$21,6,0)</f>
        <v>0</v>
      </c>
      <c r="AD9" s="157">
        <f t="shared" si="11"/>
        <v>0</v>
      </c>
      <c r="AE9" s="158"/>
      <c r="AF9" s="156">
        <v>0.2</v>
      </c>
      <c r="AG9" s="156">
        <f t="shared" si="12"/>
        <v>0.2</v>
      </c>
      <c r="AH9" s="157">
        <f>VLOOKUP($AF2,'1.5 планир доход'!$A$6:$F$21,6,0)</f>
        <v>0</v>
      </c>
      <c r="AI9" s="157">
        <f t="shared" si="13"/>
        <v>0</v>
      </c>
      <c r="AJ9" s="158"/>
      <c r="AK9" s="156">
        <v>0.2</v>
      </c>
      <c r="AL9" s="156">
        <f t="shared" si="14"/>
        <v>0.2</v>
      </c>
      <c r="AM9" s="157">
        <f>VLOOKUP($AK2,'1.5 планир доход'!$A$6:$F$21,6,0)</f>
        <v>5</v>
      </c>
      <c r="AN9" s="157">
        <f t="shared" si="15"/>
        <v>1</v>
      </c>
      <c r="AO9" s="158"/>
      <c r="AP9" s="156">
        <v>0.2</v>
      </c>
      <c r="AQ9" s="156">
        <f t="shared" si="16"/>
        <v>0.2</v>
      </c>
      <c r="AR9" s="157">
        <f>VLOOKUP($AP2,'1.5 планир доход'!$A$6:$F$21,6,0)</f>
        <v>0</v>
      </c>
      <c r="AS9" s="157">
        <f t="shared" si="17"/>
        <v>0</v>
      </c>
      <c r="AT9" s="158"/>
      <c r="AU9" s="156">
        <v>0.2</v>
      </c>
      <c r="AV9" s="156">
        <f t="shared" si="18"/>
        <v>0.2</v>
      </c>
      <c r="AW9" s="157">
        <f>VLOOKUP($AU2,'1.5 планир доход'!$A$6:$F$21,6,0)</f>
        <v>0</v>
      </c>
      <c r="AX9" s="157">
        <f t="shared" si="19"/>
        <v>0</v>
      </c>
      <c r="AY9" s="158"/>
      <c r="AZ9" s="156">
        <v>0.2</v>
      </c>
      <c r="BA9" s="156">
        <f t="shared" si="20"/>
        <v>0.2</v>
      </c>
      <c r="BB9" s="157">
        <f>VLOOKUP($AZ2,'1.5 планир доход'!$A$6:$F$21,6,0)</f>
        <v>0</v>
      </c>
      <c r="BC9" s="157">
        <f t="shared" si="21"/>
        <v>0</v>
      </c>
      <c r="BD9" s="158"/>
      <c r="BE9" s="156">
        <v>0.2</v>
      </c>
      <c r="BF9" s="156">
        <f t="shared" si="22"/>
        <v>0.2</v>
      </c>
      <c r="BG9" s="157">
        <f>VLOOKUP($BE2,'1.5 планир доход'!$A$6:$F$21,6,0)</f>
        <v>5</v>
      </c>
      <c r="BH9" s="157">
        <f t="shared" si="23"/>
        <v>1</v>
      </c>
      <c r="BI9" s="158"/>
      <c r="BJ9" s="156">
        <v>0.2</v>
      </c>
      <c r="BK9" s="156">
        <f t="shared" si="24"/>
        <v>0.2</v>
      </c>
      <c r="BL9" s="157">
        <f>VLOOKUP($BJ2,'1.5 планир доход'!$A$6:$F$21,6,0)</f>
        <v>0</v>
      </c>
      <c r="BM9" s="157">
        <f t="shared" si="25"/>
        <v>0</v>
      </c>
      <c r="BN9" s="158"/>
      <c r="BO9" s="156">
        <v>0.2</v>
      </c>
      <c r="BP9" s="156">
        <f t="shared" si="26"/>
        <v>0.2</v>
      </c>
      <c r="BQ9" s="157">
        <f>VLOOKUP($BO2,'1.5 планир доход'!$A$6:$F$21,6,0)</f>
        <v>0</v>
      </c>
      <c r="BR9" s="157">
        <f t="shared" si="27"/>
        <v>0</v>
      </c>
      <c r="BS9" s="158"/>
      <c r="BT9" s="156">
        <v>0.2</v>
      </c>
      <c r="BU9" s="156">
        <f t="shared" si="0"/>
        <v>0.2</v>
      </c>
      <c r="BV9" s="157">
        <f>VLOOKUP($BT2,'1.5 планир доход'!$A$6:$F$21,6,0)</f>
        <v>0</v>
      </c>
      <c r="BW9" s="157">
        <f t="shared" si="28"/>
        <v>0</v>
      </c>
      <c r="BX9" s="158"/>
      <c r="BY9" s="156">
        <v>0.2</v>
      </c>
      <c r="BZ9" s="156">
        <f t="shared" si="31"/>
        <v>0.25</v>
      </c>
      <c r="CA9" s="157">
        <f>VLOOKUP($BY2,'1.5 планир доход'!$A$6:$F$21,6,0)</f>
        <v>0</v>
      </c>
      <c r="CB9" s="157">
        <f t="shared" si="29"/>
        <v>0</v>
      </c>
      <c r="CC9" s="158"/>
    </row>
    <row r="10" spans="1:81" s="149" customFormat="1" ht="14.25">
      <c r="A10" s="150" t="s">
        <v>107</v>
      </c>
      <c r="B10" s="151">
        <v>0.4</v>
      </c>
      <c r="C10" s="151">
        <f>ROUND(B10*100%/70%,5)</f>
        <v>0.57142999999999999</v>
      </c>
      <c r="D10" s="152"/>
      <c r="E10" s="152">
        <f>SUM(E11:E21)</f>
        <v>3.07</v>
      </c>
      <c r="F10" s="153">
        <f>ROUND(E10*C10,2)</f>
        <v>1.75</v>
      </c>
      <c r="G10" s="151">
        <v>0.4</v>
      </c>
      <c r="H10" s="151">
        <v>0.4</v>
      </c>
      <c r="I10" s="152"/>
      <c r="J10" s="152">
        <f>SUM(J11:J21)</f>
        <v>3.9</v>
      </c>
      <c r="K10" s="153">
        <f>ROUND(J10*H10,2)</f>
        <v>1.56</v>
      </c>
      <c r="L10" s="151">
        <v>0.4</v>
      </c>
      <c r="M10" s="151">
        <f>ROUND(L10*100%/70%,5)</f>
        <v>0.57142999999999999</v>
      </c>
      <c r="N10" s="152"/>
      <c r="O10" s="152">
        <f>SUM(O11:O21)</f>
        <v>3.25</v>
      </c>
      <c r="P10" s="153">
        <f>ROUND(O10*M10,2)</f>
        <v>1.86</v>
      </c>
      <c r="Q10" s="151">
        <v>0.4</v>
      </c>
      <c r="R10" s="151">
        <f>ROUND(Q10*100%/70%,5)</f>
        <v>0.57142999999999999</v>
      </c>
      <c r="S10" s="152"/>
      <c r="T10" s="152">
        <f>SUM(T11:T21)</f>
        <v>4.08</v>
      </c>
      <c r="U10" s="153">
        <f>ROUND(T10*R10,2)</f>
        <v>2.33</v>
      </c>
      <c r="V10" s="151">
        <v>0.4</v>
      </c>
      <c r="W10" s="151">
        <f>ROUND(V10*100%/70%,5)</f>
        <v>0.57142999999999999</v>
      </c>
      <c r="X10" s="152"/>
      <c r="Y10" s="152">
        <f>SUM(Y11:Y21)</f>
        <v>4.0199999999999996</v>
      </c>
      <c r="Z10" s="153">
        <f>ROUND(Y10*W10,2)</f>
        <v>2.2999999999999998</v>
      </c>
      <c r="AA10" s="151">
        <v>0.4</v>
      </c>
      <c r="AB10" s="151">
        <f>ROUND(AA10*100%/80%,5)</f>
        <v>0.5</v>
      </c>
      <c r="AC10" s="152"/>
      <c r="AD10" s="152">
        <f>SUM(AD11:AD21)</f>
        <v>3.25</v>
      </c>
      <c r="AE10" s="153">
        <f>ROUND(AD10*AB10,2)</f>
        <v>1.63</v>
      </c>
      <c r="AF10" s="151">
        <v>0.4</v>
      </c>
      <c r="AG10" s="151">
        <f>ROUND(AF10*100%/80%,5)</f>
        <v>0.5</v>
      </c>
      <c r="AH10" s="152"/>
      <c r="AI10" s="152">
        <f>SUM(AI11:AI21)</f>
        <v>3.4</v>
      </c>
      <c r="AJ10" s="153">
        <f>ROUND(AI10*AG10,2)</f>
        <v>1.7</v>
      </c>
      <c r="AK10" s="151">
        <v>0.4</v>
      </c>
      <c r="AL10" s="151">
        <f t="shared" ref="AL10:AL22" si="32">ROUND(AK10*100%/90%,5)</f>
        <v>0.44444</v>
      </c>
      <c r="AM10" s="152"/>
      <c r="AN10" s="152">
        <f>SUM(AN11:AN21)</f>
        <v>4.3000000000000007</v>
      </c>
      <c r="AO10" s="153">
        <f>ROUND(AN10*AL10,2)</f>
        <v>1.91</v>
      </c>
      <c r="AP10" s="151">
        <v>0.4</v>
      </c>
      <c r="AQ10" s="151">
        <f>ROUND(AP10*100%/80%,5)</f>
        <v>0.5</v>
      </c>
      <c r="AR10" s="152"/>
      <c r="AS10" s="152">
        <f>SUM(AS11:AS21)</f>
        <v>3.5200000000000005</v>
      </c>
      <c r="AT10" s="153">
        <f>ROUND(AS10*AQ10,2)</f>
        <v>1.76</v>
      </c>
      <c r="AU10" s="151">
        <v>0.4</v>
      </c>
      <c r="AV10" s="151">
        <f>ROUND(AU10*100%/70%,5)</f>
        <v>0.57142999999999999</v>
      </c>
      <c r="AW10" s="152"/>
      <c r="AX10" s="152">
        <f>SUM(AX11:AX21)</f>
        <v>4.3499999999999996</v>
      </c>
      <c r="AY10" s="153">
        <f>ROUND(AX10*AV10,2)</f>
        <v>2.4900000000000002</v>
      </c>
      <c r="AZ10" s="151">
        <v>0.4</v>
      </c>
      <c r="BA10" s="151">
        <f>ROUND(AZ10*100%/70%,5)</f>
        <v>0.57142999999999999</v>
      </c>
      <c r="BB10" s="152"/>
      <c r="BC10" s="152">
        <f>SUM(BC11:BC21)</f>
        <v>4.0999999999999996</v>
      </c>
      <c r="BD10" s="153">
        <f>ROUND(BC10*BA10,2)</f>
        <v>2.34</v>
      </c>
      <c r="BE10" s="151">
        <v>0.4</v>
      </c>
      <c r="BF10" s="151">
        <f>ROUND(BE10*100%/70%,5)</f>
        <v>0.57142999999999999</v>
      </c>
      <c r="BG10" s="152"/>
      <c r="BH10" s="152">
        <f>SUM(BH11:BH21)</f>
        <v>3.8</v>
      </c>
      <c r="BI10" s="153">
        <f>ROUND(BH10*BF10,2)</f>
        <v>2.17</v>
      </c>
      <c r="BJ10" s="151">
        <v>0.4</v>
      </c>
      <c r="BK10" s="151">
        <v>0.4</v>
      </c>
      <c r="BL10" s="152"/>
      <c r="BM10" s="152">
        <f>SUM(BM11:BM21)</f>
        <v>4.3499999999999996</v>
      </c>
      <c r="BN10" s="153">
        <f>ROUND(BM10*BK10,2)</f>
        <v>1.74</v>
      </c>
      <c r="BO10" s="151">
        <v>0.4</v>
      </c>
      <c r="BP10" s="151">
        <f>ROUND(BO10*100%/90%,5)</f>
        <v>0.44444</v>
      </c>
      <c r="BQ10" s="152"/>
      <c r="BR10" s="152">
        <f>SUM(BR11:BR21)</f>
        <v>2.8</v>
      </c>
      <c r="BS10" s="153">
        <f>ROUND(BR10*BP10,2)</f>
        <v>1.24</v>
      </c>
      <c r="BT10" s="151">
        <v>0.4</v>
      </c>
      <c r="BU10" s="151">
        <f>BT10</f>
        <v>0.4</v>
      </c>
      <c r="BV10" s="152"/>
      <c r="BW10" s="152">
        <f>SUM(BW11:BW21)</f>
        <v>3.41</v>
      </c>
      <c r="BX10" s="153">
        <f>ROUND(BW10*BU10,2)</f>
        <v>1.36</v>
      </c>
      <c r="BY10" s="151">
        <v>0.4</v>
      </c>
      <c r="BZ10" s="151">
        <f>ROUND(BY10*100%/70%,5)</f>
        <v>0.57142999999999999</v>
      </c>
      <c r="CA10" s="152"/>
      <c r="CB10" s="152">
        <f>SUM(CB11:CB21)</f>
        <v>2.76</v>
      </c>
      <c r="CC10" s="153">
        <f>ROUND(CB10*BZ10,2)</f>
        <v>1.58</v>
      </c>
    </row>
    <row r="11" spans="1:81">
      <c r="A11" s="160" t="s">
        <v>108</v>
      </c>
      <c r="B11" s="161">
        <v>0.15</v>
      </c>
      <c r="C11" s="161">
        <f>ROUND(B11*100%/65%,5)</f>
        <v>0.23077</v>
      </c>
      <c r="D11" s="162">
        <f>VLOOKUP($B2,'2.1. равн.расх'!$A$6:$H$21,8,0)</f>
        <v>4</v>
      </c>
      <c r="E11" s="162">
        <f t="shared" ref="E11:E21" si="33">ROUND(D11*C11,2)</f>
        <v>0.92</v>
      </c>
      <c r="F11" s="163"/>
      <c r="G11" s="161">
        <v>0.15</v>
      </c>
      <c r="H11" s="161">
        <f t="shared" ref="H11:H21" si="34">G11</f>
        <v>0.15</v>
      </c>
      <c r="I11" s="162">
        <f>VLOOKUP($G2,'2.1. равн.расх'!$A$6:$H$21,8,0)</f>
        <v>5</v>
      </c>
      <c r="J11" s="162">
        <f t="shared" ref="J11:J21" si="35">ROUND(I11*H11,2)</f>
        <v>0.75</v>
      </c>
      <c r="K11" s="163"/>
      <c r="L11" s="161">
        <v>0.15</v>
      </c>
      <c r="M11" s="161">
        <f t="shared" ref="M11:M21" si="36">L11</f>
        <v>0.15</v>
      </c>
      <c r="N11" s="162">
        <f>VLOOKUP($L2,'2.1. равн.расх'!$A$6:$H$21,8,0)</f>
        <v>2</v>
      </c>
      <c r="O11" s="162">
        <f t="shared" ref="O11:O21" si="37">ROUND(N11*M11,2)</f>
        <v>0.3</v>
      </c>
      <c r="P11" s="163"/>
      <c r="Q11" s="161">
        <v>0.15</v>
      </c>
      <c r="R11" s="161">
        <f t="shared" ref="R11:R21" si="38">ROUND(Q11*100%/90%,5)</f>
        <v>0.16667000000000001</v>
      </c>
      <c r="S11" s="162">
        <f>VLOOKUP($Q2,'2.1. равн.расх'!$A$6:$H$21,8,0)</f>
        <v>5</v>
      </c>
      <c r="T11" s="162">
        <f t="shared" ref="T11:T21" si="39">ROUND(S11*R11,2)</f>
        <v>0.83</v>
      </c>
      <c r="U11" s="163"/>
      <c r="V11" s="161">
        <v>0.15</v>
      </c>
      <c r="W11" s="161">
        <f t="shared" ref="W11:W21" si="40">ROUND(V11*100%/90%,5)</f>
        <v>0.16667000000000001</v>
      </c>
      <c r="X11" s="162">
        <f>VLOOKUP($V2,'2.1. равн.расх'!$A$6:$H$21,8,0)</f>
        <v>2</v>
      </c>
      <c r="Y11" s="162">
        <f t="shared" ref="Y11:Y21" si="41">ROUND(X11*W11,2)</f>
        <v>0.33</v>
      </c>
      <c r="Z11" s="163"/>
      <c r="AA11" s="161">
        <v>0.15</v>
      </c>
      <c r="AB11" s="161">
        <f t="shared" ref="AB11:AB21" si="42">AA11</f>
        <v>0.15</v>
      </c>
      <c r="AC11" s="162">
        <f>VLOOKUP($AA2,'2.1. равн.расх'!$A$6:$H$21,8,0)</f>
        <v>2</v>
      </c>
      <c r="AD11" s="162">
        <f t="shared" ref="AD11:AD21" si="43">ROUND(AC11*AB11,2)</f>
        <v>0.3</v>
      </c>
      <c r="AE11" s="163"/>
      <c r="AF11" s="161">
        <v>0.15</v>
      </c>
      <c r="AG11" s="161">
        <f t="shared" ref="AG11:AG21" si="44">AF11</f>
        <v>0.15</v>
      </c>
      <c r="AH11" s="162">
        <f>VLOOKUP($AF2,'2.1. равн.расх'!$A$6:$H$21,8,0)</f>
        <v>2</v>
      </c>
      <c r="AI11" s="162">
        <f t="shared" ref="AI11:AI21" si="45">ROUND(AH11*AG11,2)</f>
        <v>0.3</v>
      </c>
      <c r="AJ11" s="163"/>
      <c r="AK11" s="161">
        <v>0.15</v>
      </c>
      <c r="AL11" s="161">
        <f t="shared" si="32"/>
        <v>0.16667000000000001</v>
      </c>
      <c r="AM11" s="162">
        <f>VLOOKUP($AK2,'2.1. равн.расх'!$A$6:$H$21,8,0)</f>
        <v>5</v>
      </c>
      <c r="AN11" s="162">
        <f t="shared" ref="AN11:AN21" si="46">ROUND(AM11*AL11,2)</f>
        <v>0.83</v>
      </c>
      <c r="AO11" s="163"/>
      <c r="AP11" s="161">
        <v>0.15</v>
      </c>
      <c r="AQ11" s="161">
        <f t="shared" ref="AQ11:AQ21" si="47">ROUND(AP11*100%/90%,5)</f>
        <v>0.16667000000000001</v>
      </c>
      <c r="AR11" s="162">
        <f>VLOOKUP($AP2,'2.1. равн.расх'!$A$6:$H$21,8,0)</f>
        <v>3</v>
      </c>
      <c r="AS11" s="162">
        <f t="shared" ref="AS11:AS21" si="48">ROUND(AR11*AQ11,2)</f>
        <v>0.5</v>
      </c>
      <c r="AT11" s="163"/>
      <c r="AU11" s="161">
        <v>0.15</v>
      </c>
      <c r="AV11" s="161">
        <f t="shared" ref="AV11:AV21" si="49">AU11</f>
        <v>0.15</v>
      </c>
      <c r="AW11" s="162">
        <f>VLOOKUP($AU2,'2.1. равн.расх'!$A$6:$H$21,8,0)</f>
        <v>5</v>
      </c>
      <c r="AX11" s="162">
        <f t="shared" ref="AX11:AX21" si="50">ROUND(AW11*AV11,2)</f>
        <v>0.75</v>
      </c>
      <c r="AY11" s="163"/>
      <c r="AZ11" s="161">
        <v>0.15</v>
      </c>
      <c r="BA11" s="161">
        <f t="shared" ref="BA11:BA21" si="51">AZ11</f>
        <v>0.15</v>
      </c>
      <c r="BB11" s="162">
        <f>VLOOKUP($AZ2,'2.1. равн.расх'!$A$6:$H$21,8,0)</f>
        <v>5</v>
      </c>
      <c r="BC11" s="162">
        <f t="shared" ref="BC11:BC21" si="52">ROUND(BB11*BA11,2)</f>
        <v>0.75</v>
      </c>
      <c r="BD11" s="163"/>
      <c r="BE11" s="161">
        <v>0.15</v>
      </c>
      <c r="BF11" s="161">
        <f t="shared" ref="BF11:BF21" si="53">BE11</f>
        <v>0.15</v>
      </c>
      <c r="BG11" s="162">
        <f>VLOOKUP($BE2,'2.1. равн.расх'!$A$6:$H$21,8,0)</f>
        <v>5</v>
      </c>
      <c r="BH11" s="162">
        <f t="shared" ref="BH11:BH21" si="54">ROUND(BG11*BF11,2)</f>
        <v>0.75</v>
      </c>
      <c r="BI11" s="163"/>
      <c r="BJ11" s="161">
        <v>0.15</v>
      </c>
      <c r="BK11" s="161">
        <f t="shared" ref="BK11:BK21" si="55">BJ11</f>
        <v>0.15</v>
      </c>
      <c r="BL11" s="162">
        <f>VLOOKUP($BJ2,'2.1. равн.расх'!$A$6:$H$21,8,0)</f>
        <v>5</v>
      </c>
      <c r="BM11" s="162">
        <f t="shared" ref="BM11:BM21" si="56">ROUND(BL11*BK11,2)</f>
        <v>0.75</v>
      </c>
      <c r="BN11" s="163"/>
      <c r="BO11" s="161">
        <v>0.15</v>
      </c>
      <c r="BP11" s="161">
        <f t="shared" ref="BP11:BP21" si="57">BO11</f>
        <v>0.15</v>
      </c>
      <c r="BQ11" s="162">
        <f>VLOOKUP($BO2,'2.1. равн.расх'!$A$6:$H$21,8,0)</f>
        <v>0</v>
      </c>
      <c r="BR11" s="162">
        <f t="shared" ref="BR11:BR21" si="58">ROUND(BQ11*BP11,2)</f>
        <v>0</v>
      </c>
      <c r="BS11" s="163"/>
      <c r="BT11" s="161">
        <v>0.15</v>
      </c>
      <c r="BU11" s="161">
        <f t="shared" ref="BU11:BU21" si="59">ROUND(BT11*100%/90%,5)</f>
        <v>0.16667000000000001</v>
      </c>
      <c r="BV11" s="162">
        <f>VLOOKUP($BT2,'2.1. равн.расх'!$A$6:$H$21,8,0)</f>
        <v>2</v>
      </c>
      <c r="BW11" s="162">
        <f t="shared" ref="BW11:BW21" si="60">ROUND(BV11*BU11,2)</f>
        <v>0.33</v>
      </c>
      <c r="BX11" s="163"/>
      <c r="BY11" s="161">
        <v>0.15</v>
      </c>
      <c r="BZ11" s="161">
        <f>ROUND(BY11*100%/65%,5)</f>
        <v>0.23077</v>
      </c>
      <c r="CA11" s="162">
        <f>VLOOKUP($BY2,'2.1. равн.расх'!$A$6:$H$21,8,0)</f>
        <v>2</v>
      </c>
      <c r="CB11" s="162">
        <f t="shared" ref="CB11:CB21" si="61">ROUND(CA11*BZ11,2)</f>
        <v>0.46</v>
      </c>
      <c r="CC11" s="163"/>
    </row>
    <row r="12" spans="1:81" s="164" customFormat="1" ht="45">
      <c r="A12" s="155" t="s">
        <v>109</v>
      </c>
      <c r="B12" s="156">
        <v>0.15</v>
      </c>
      <c r="C12" s="156"/>
      <c r="D12" s="157">
        <f>VLOOKUP($B2,'2.2. МП'!$A$6:$F$21,6,0)</f>
        <v>0</v>
      </c>
      <c r="E12" s="157">
        <f t="shared" si="33"/>
        <v>0</v>
      </c>
      <c r="F12" s="158"/>
      <c r="G12" s="156">
        <v>0.15</v>
      </c>
      <c r="H12" s="156">
        <f t="shared" si="34"/>
        <v>0.15</v>
      </c>
      <c r="I12" s="157">
        <f>VLOOKUP($G2,'2.2. МП'!$A$6:$F$21,6,0)</f>
        <v>5</v>
      </c>
      <c r="J12" s="157">
        <f t="shared" si="35"/>
        <v>0.75</v>
      </c>
      <c r="K12" s="158"/>
      <c r="L12" s="156">
        <v>0.15</v>
      </c>
      <c r="M12" s="156">
        <f t="shared" si="36"/>
        <v>0.15</v>
      </c>
      <c r="N12" s="157">
        <f>VLOOKUP($L2,'2.2. МП'!$A$6:$F$21,6,0)</f>
        <v>3</v>
      </c>
      <c r="O12" s="157">
        <f t="shared" si="37"/>
        <v>0.45</v>
      </c>
      <c r="P12" s="158"/>
      <c r="Q12" s="156">
        <v>0.15</v>
      </c>
      <c r="R12" s="156">
        <f t="shared" si="38"/>
        <v>0.16667000000000001</v>
      </c>
      <c r="S12" s="157">
        <f>VLOOKUP($Q2,'2.2. МП'!$A$6:$F$21,6,0)</f>
        <v>4</v>
      </c>
      <c r="T12" s="157">
        <f t="shared" si="39"/>
        <v>0.67</v>
      </c>
      <c r="U12" s="158"/>
      <c r="V12" s="156">
        <v>0.15</v>
      </c>
      <c r="W12" s="156">
        <f t="shared" si="40"/>
        <v>0.16667000000000001</v>
      </c>
      <c r="X12" s="157">
        <f>VLOOKUP($V2,'2.2. МП'!$A$6:$F$21,6,0)</f>
        <v>5</v>
      </c>
      <c r="Y12" s="157">
        <f t="shared" si="41"/>
        <v>0.83</v>
      </c>
      <c r="Z12" s="158"/>
      <c r="AA12" s="156">
        <v>0.15</v>
      </c>
      <c r="AB12" s="156">
        <f t="shared" si="42"/>
        <v>0.15</v>
      </c>
      <c r="AC12" s="157">
        <f>VLOOKUP($AA2,'2.2. МП'!$A$6:$F$21,6,0)</f>
        <v>4</v>
      </c>
      <c r="AD12" s="157">
        <f t="shared" si="43"/>
        <v>0.6</v>
      </c>
      <c r="AE12" s="158"/>
      <c r="AF12" s="156">
        <v>0.15</v>
      </c>
      <c r="AG12" s="156">
        <f t="shared" si="44"/>
        <v>0.15</v>
      </c>
      <c r="AH12" s="157">
        <f>VLOOKUP($AF2,'2.2. МП'!$A$6:$F$21,6,0)</f>
        <v>4</v>
      </c>
      <c r="AI12" s="157">
        <f t="shared" si="45"/>
        <v>0.6</v>
      </c>
      <c r="AJ12" s="158"/>
      <c r="AK12" s="156">
        <v>0.15</v>
      </c>
      <c r="AL12" s="156">
        <f t="shared" si="32"/>
        <v>0.16667000000000001</v>
      </c>
      <c r="AM12" s="157">
        <f>VLOOKUP($AK2,'2.2. МП'!$A$6:$F$21,6,0)</f>
        <v>4</v>
      </c>
      <c r="AN12" s="157">
        <f t="shared" si="46"/>
        <v>0.67</v>
      </c>
      <c r="AO12" s="158"/>
      <c r="AP12" s="156">
        <v>0.15</v>
      </c>
      <c r="AQ12" s="156">
        <f t="shared" si="47"/>
        <v>0.16667000000000001</v>
      </c>
      <c r="AR12" s="157">
        <f>VLOOKUP($AP2,'2.2. МП'!$A$6:$F$21,6,0)</f>
        <v>4</v>
      </c>
      <c r="AS12" s="157">
        <f t="shared" si="48"/>
        <v>0.67</v>
      </c>
      <c r="AT12" s="158"/>
      <c r="AU12" s="156">
        <v>0.15</v>
      </c>
      <c r="AV12" s="156">
        <f t="shared" si="49"/>
        <v>0.15</v>
      </c>
      <c r="AW12" s="157">
        <f>VLOOKUP($AU2,'2.2. МП'!$A$6:$F$21,6,0)</f>
        <v>4</v>
      </c>
      <c r="AX12" s="157">
        <f t="shared" si="50"/>
        <v>0.6</v>
      </c>
      <c r="AY12" s="158"/>
      <c r="AZ12" s="156">
        <v>0.15</v>
      </c>
      <c r="BA12" s="156">
        <f t="shared" si="51"/>
        <v>0.15</v>
      </c>
      <c r="BB12" s="157">
        <f>VLOOKUP($AZ2,'2.2. МП'!$A$6:$F$21,6,0)</f>
        <v>4</v>
      </c>
      <c r="BC12" s="157">
        <f t="shared" si="52"/>
        <v>0.6</v>
      </c>
      <c r="BD12" s="158"/>
      <c r="BE12" s="156">
        <v>0.15</v>
      </c>
      <c r="BF12" s="156">
        <f t="shared" si="53"/>
        <v>0.15</v>
      </c>
      <c r="BG12" s="157">
        <f>VLOOKUP($BE2,'2.2. МП'!$A$6:$F$21,6,0)</f>
        <v>4</v>
      </c>
      <c r="BH12" s="157">
        <f t="shared" si="54"/>
        <v>0.6</v>
      </c>
      <c r="BI12" s="158"/>
      <c r="BJ12" s="156">
        <v>0.15</v>
      </c>
      <c r="BK12" s="156">
        <f t="shared" si="55"/>
        <v>0.15</v>
      </c>
      <c r="BL12" s="157">
        <f>VLOOKUP($BJ2,'2.2. МП'!$A$6:$F$21,6,0)</f>
        <v>4</v>
      </c>
      <c r="BM12" s="157">
        <f t="shared" si="56"/>
        <v>0.6</v>
      </c>
      <c r="BN12" s="158"/>
      <c r="BO12" s="156">
        <v>0.15</v>
      </c>
      <c r="BP12" s="156">
        <f t="shared" si="57"/>
        <v>0.15</v>
      </c>
      <c r="BQ12" s="157">
        <f>VLOOKUP($BO2,'2.2. МП'!$A$6:$F$21,6,0)</f>
        <v>2</v>
      </c>
      <c r="BR12" s="157">
        <f t="shared" si="58"/>
        <v>0.3</v>
      </c>
      <c r="BS12" s="158"/>
      <c r="BT12" s="156">
        <v>0.15</v>
      </c>
      <c r="BU12" s="156">
        <f t="shared" si="59"/>
        <v>0.16667000000000001</v>
      </c>
      <c r="BV12" s="157">
        <f>VLOOKUP($BT2,'2.2. МП'!$A$6:$F$21,6,0)</f>
        <v>4</v>
      </c>
      <c r="BW12" s="157">
        <f t="shared" si="60"/>
        <v>0.67</v>
      </c>
      <c r="BX12" s="158"/>
      <c r="BY12" s="156">
        <v>0.15</v>
      </c>
      <c r="BZ12" s="156"/>
      <c r="CA12" s="157">
        <f>VLOOKUP($BY2,'2.2. МП'!$A$6:$F$21,6,0)</f>
        <v>0</v>
      </c>
      <c r="CB12" s="157">
        <f t="shared" si="61"/>
        <v>0</v>
      </c>
      <c r="CC12" s="158"/>
    </row>
    <row r="13" spans="1:81" s="165" customFormat="1" ht="30">
      <c r="A13" s="155" t="s">
        <v>110</v>
      </c>
      <c r="B13" s="156">
        <v>0.1</v>
      </c>
      <c r="C13" s="156"/>
      <c r="D13" s="157">
        <f>VLOOKUP($B2,'2.3. индикат МП'!$A$6:$F$20,6,0)</f>
        <v>0</v>
      </c>
      <c r="E13" s="157">
        <f t="shared" si="33"/>
        <v>0</v>
      </c>
      <c r="F13" s="158"/>
      <c r="G13" s="156">
        <v>0.1</v>
      </c>
      <c r="H13" s="156">
        <f t="shared" si="34"/>
        <v>0.1</v>
      </c>
      <c r="I13" s="157">
        <f>VLOOKUP($G2,'2.3. индикат МП'!$A$6:$F$20,6,0)</f>
        <v>4</v>
      </c>
      <c r="J13" s="157">
        <f t="shared" si="35"/>
        <v>0.4</v>
      </c>
      <c r="K13" s="158"/>
      <c r="L13" s="156">
        <v>0.1</v>
      </c>
      <c r="M13" s="156">
        <f t="shared" si="36"/>
        <v>0.1</v>
      </c>
      <c r="N13" s="157">
        <f>VLOOKUP($L2,'2.3. индикат МП'!$A$6:$F$20,6,0)</f>
        <v>4</v>
      </c>
      <c r="O13" s="157">
        <f t="shared" si="37"/>
        <v>0.4</v>
      </c>
      <c r="P13" s="158"/>
      <c r="Q13" s="156">
        <v>0.1</v>
      </c>
      <c r="R13" s="156">
        <f t="shared" si="38"/>
        <v>0.11111</v>
      </c>
      <c r="S13" s="157">
        <f>VLOOKUP($Q2,'2.3. индикат МП'!$A$6:$F$20,6,0)</f>
        <v>5</v>
      </c>
      <c r="T13" s="157">
        <f t="shared" si="39"/>
        <v>0.56000000000000005</v>
      </c>
      <c r="U13" s="158"/>
      <c r="V13" s="156">
        <v>0.1</v>
      </c>
      <c r="W13" s="156">
        <f t="shared" si="40"/>
        <v>0.11111</v>
      </c>
      <c r="X13" s="157">
        <f>VLOOKUP($V2,'2.3. индикат МП'!$A$6:$F$20,6,0)</f>
        <v>5</v>
      </c>
      <c r="Y13" s="157">
        <f t="shared" si="41"/>
        <v>0.56000000000000005</v>
      </c>
      <c r="Z13" s="158"/>
      <c r="AA13" s="156">
        <v>0.1</v>
      </c>
      <c r="AB13" s="156">
        <f t="shared" si="42"/>
        <v>0.1</v>
      </c>
      <c r="AC13" s="157">
        <f>VLOOKUP($AA2,'2.3. индикат МП'!$A$6:$F$20,6,0)</f>
        <v>5</v>
      </c>
      <c r="AD13" s="157">
        <f t="shared" si="43"/>
        <v>0.5</v>
      </c>
      <c r="AE13" s="158"/>
      <c r="AF13" s="156">
        <v>0.1</v>
      </c>
      <c r="AG13" s="156">
        <f t="shared" si="44"/>
        <v>0.1</v>
      </c>
      <c r="AH13" s="157">
        <f>VLOOKUP($AF2,'2.3. индикат МП'!$A$6:$F$20,6,0)</f>
        <v>5</v>
      </c>
      <c r="AI13" s="157">
        <f t="shared" si="45"/>
        <v>0.5</v>
      </c>
      <c r="AJ13" s="158"/>
      <c r="AK13" s="156">
        <v>0.1</v>
      </c>
      <c r="AL13" s="156">
        <f t="shared" si="32"/>
        <v>0.11111</v>
      </c>
      <c r="AM13" s="157">
        <f>VLOOKUP($AK2,'2.3. индикат МП'!$A$6:$F$20,6,0)</f>
        <v>5</v>
      </c>
      <c r="AN13" s="157">
        <f t="shared" si="46"/>
        <v>0.56000000000000005</v>
      </c>
      <c r="AO13" s="158"/>
      <c r="AP13" s="156">
        <v>0.1</v>
      </c>
      <c r="AQ13" s="156">
        <f t="shared" si="47"/>
        <v>0.11111</v>
      </c>
      <c r="AR13" s="157">
        <f>VLOOKUP($AP2,'2.3. индикат МП'!$A$6:$F$20,6,0)</f>
        <v>5</v>
      </c>
      <c r="AS13" s="157">
        <f t="shared" si="48"/>
        <v>0.56000000000000005</v>
      </c>
      <c r="AT13" s="158"/>
      <c r="AU13" s="156">
        <v>0.1</v>
      </c>
      <c r="AV13" s="156">
        <f t="shared" si="49"/>
        <v>0.1</v>
      </c>
      <c r="AW13" s="157">
        <f>VLOOKUP($AU2,'2.3. индикат МП'!$A$6:$F$20,6,0)</f>
        <v>5</v>
      </c>
      <c r="AX13" s="157">
        <f t="shared" si="50"/>
        <v>0.5</v>
      </c>
      <c r="AY13" s="158"/>
      <c r="AZ13" s="156">
        <v>0.1</v>
      </c>
      <c r="BA13" s="156">
        <f t="shared" si="51"/>
        <v>0.1</v>
      </c>
      <c r="BB13" s="157">
        <f>VLOOKUP($AZ2,'2.3. индикат МП'!$A$6:$F$20,6,0)</f>
        <v>5</v>
      </c>
      <c r="BC13" s="157">
        <f t="shared" si="52"/>
        <v>0.5</v>
      </c>
      <c r="BD13" s="158"/>
      <c r="BE13" s="156">
        <v>0.1</v>
      </c>
      <c r="BF13" s="156">
        <f t="shared" si="53"/>
        <v>0.1</v>
      </c>
      <c r="BG13" s="157">
        <f>VLOOKUP($BE2,'2.3. индикат МП'!$A$6:$F$20,6,0)</f>
        <v>4</v>
      </c>
      <c r="BH13" s="157">
        <f t="shared" si="54"/>
        <v>0.4</v>
      </c>
      <c r="BI13" s="158"/>
      <c r="BJ13" s="156">
        <v>0.1</v>
      </c>
      <c r="BK13" s="156">
        <f t="shared" si="55"/>
        <v>0.1</v>
      </c>
      <c r="BL13" s="157">
        <f>VLOOKUP($BJ2,'2.3. индикат МП'!$A$6:$F$20,6,0)</f>
        <v>5</v>
      </c>
      <c r="BM13" s="157">
        <f t="shared" si="56"/>
        <v>0.5</v>
      </c>
      <c r="BN13" s="158"/>
      <c r="BO13" s="156">
        <v>0.1</v>
      </c>
      <c r="BP13" s="156">
        <f t="shared" si="57"/>
        <v>0.1</v>
      </c>
      <c r="BQ13" s="157">
        <f>VLOOKUP($BO2,'2.3. индикат МП'!$A$6:$F$20,6,0)</f>
        <v>5</v>
      </c>
      <c r="BR13" s="157">
        <f t="shared" si="58"/>
        <v>0.5</v>
      </c>
      <c r="BS13" s="158"/>
      <c r="BT13" s="156">
        <v>0.1</v>
      </c>
      <c r="BU13" s="156">
        <f t="shared" si="59"/>
        <v>0.11111</v>
      </c>
      <c r="BV13" s="157">
        <f>VLOOKUP($BT2,'2.3. индикат МП'!$A$6:$F$20,6,0)</f>
        <v>5</v>
      </c>
      <c r="BW13" s="157">
        <f t="shared" si="60"/>
        <v>0.56000000000000005</v>
      </c>
      <c r="BX13" s="158"/>
      <c r="BY13" s="156">
        <v>0.1</v>
      </c>
      <c r="BZ13" s="156"/>
      <c r="CA13" s="157">
        <f>VLOOKUP($BY2,'2.3. индикат МП'!$A$6:$F$21,6,0)</f>
        <v>0</v>
      </c>
      <c r="CB13" s="157">
        <f t="shared" si="61"/>
        <v>0</v>
      </c>
      <c r="CC13" s="158"/>
    </row>
    <row r="14" spans="1:81" s="165" customFormat="1" ht="45">
      <c r="A14" s="155" t="s">
        <v>111</v>
      </c>
      <c r="B14" s="156">
        <v>0.1</v>
      </c>
      <c r="C14" s="156"/>
      <c r="D14" s="157"/>
      <c r="E14" s="157"/>
      <c r="F14" s="158"/>
      <c r="G14" s="156">
        <v>0.1</v>
      </c>
      <c r="H14" s="156">
        <f t="shared" si="34"/>
        <v>0.1</v>
      </c>
      <c r="I14" s="157">
        <f>VLOOKUP($L2,'2.4. обяз-ва по соглаш'!$A$6:$E$21,5,0)</f>
        <v>5</v>
      </c>
      <c r="J14" s="157"/>
      <c r="K14" s="158"/>
      <c r="L14" s="156">
        <v>0.1</v>
      </c>
      <c r="M14" s="156">
        <f t="shared" si="36"/>
        <v>0.1</v>
      </c>
      <c r="N14" s="157">
        <f>VLOOKUP($L2,'2.4. обяз-ва по соглаш'!$A$6:$E$21,5,0)</f>
        <v>5</v>
      </c>
      <c r="O14" s="157">
        <f t="shared" si="37"/>
        <v>0.5</v>
      </c>
      <c r="P14" s="158"/>
      <c r="Q14" s="156">
        <v>0.1</v>
      </c>
      <c r="R14" s="156"/>
      <c r="S14" s="157">
        <f>VLOOKUP($Q2,'2.4. обяз-ва по соглаш'!$A$6:$E$21,5,0)</f>
        <v>0</v>
      </c>
      <c r="T14" s="157"/>
      <c r="U14" s="158"/>
      <c r="V14" s="156">
        <v>0.1</v>
      </c>
      <c r="W14" s="156"/>
      <c r="X14" s="157">
        <f>VLOOKUP($V2,'2.4. обяз-ва по соглаш'!$A$6:$E$21,5,0)</f>
        <v>0</v>
      </c>
      <c r="Y14" s="157"/>
      <c r="Z14" s="158"/>
      <c r="AA14" s="156">
        <v>0.1</v>
      </c>
      <c r="AB14" s="156">
        <f t="shared" si="42"/>
        <v>0.1</v>
      </c>
      <c r="AC14" s="157">
        <f>VLOOKUP($AA2,'2.4. обяз-ва по соглаш'!$A$6:$E$21,5,0)</f>
        <v>5</v>
      </c>
      <c r="AD14" s="157">
        <f t="shared" si="43"/>
        <v>0.5</v>
      </c>
      <c r="AE14" s="158"/>
      <c r="AF14" s="156">
        <v>0.1</v>
      </c>
      <c r="AG14" s="156">
        <f t="shared" si="44"/>
        <v>0.1</v>
      </c>
      <c r="AH14" s="157">
        <f>VLOOKUP($AF2,'2.4. обяз-ва по соглаш'!$A$6:$E$21,5,0)</f>
        <v>5</v>
      </c>
      <c r="AI14" s="157">
        <f t="shared" si="45"/>
        <v>0.5</v>
      </c>
      <c r="AJ14" s="158"/>
      <c r="AK14" s="156">
        <v>0.1</v>
      </c>
      <c r="AL14" s="156"/>
      <c r="AM14" s="157">
        <f>VLOOKUP($AK2,'2.4. обяз-ва по соглаш'!$A$6:$E$21,5,0)</f>
        <v>0</v>
      </c>
      <c r="AN14" s="157"/>
      <c r="AO14" s="158"/>
      <c r="AP14" s="156">
        <v>0.1</v>
      </c>
      <c r="AQ14" s="156"/>
      <c r="AR14" s="157"/>
      <c r="AS14" s="157"/>
      <c r="AT14" s="158"/>
      <c r="AU14" s="156">
        <v>0.1</v>
      </c>
      <c r="AV14" s="156">
        <f t="shared" si="49"/>
        <v>0.1</v>
      </c>
      <c r="AW14" s="157">
        <f>VLOOKUP($AU2,'2.4. обяз-ва по соглаш'!$A$6:$E$21,5,0)</f>
        <v>5</v>
      </c>
      <c r="AX14" s="157">
        <f t="shared" si="50"/>
        <v>0.5</v>
      </c>
      <c r="AY14" s="158"/>
      <c r="AZ14" s="156">
        <v>0.1</v>
      </c>
      <c r="BA14" s="156">
        <f t="shared" si="51"/>
        <v>0.1</v>
      </c>
      <c r="BB14" s="157">
        <f>VLOOKUP($AZ2,'2.4. обяз-ва по соглаш'!$A$6:$E$21,5,0)</f>
        <v>5</v>
      </c>
      <c r="BC14" s="157">
        <f t="shared" si="52"/>
        <v>0.5</v>
      </c>
      <c r="BD14" s="158"/>
      <c r="BE14" s="156">
        <v>0.1</v>
      </c>
      <c r="BF14" s="156">
        <f t="shared" si="53"/>
        <v>0.1</v>
      </c>
      <c r="BG14" s="157">
        <f>VLOOKUP($BE2,'2.4. обяз-ва по соглаш'!$A$6:$E$21,5,0)</f>
        <v>5</v>
      </c>
      <c r="BH14" s="157">
        <f t="shared" si="54"/>
        <v>0.5</v>
      </c>
      <c r="BI14" s="158"/>
      <c r="BJ14" s="156">
        <v>0.1</v>
      </c>
      <c r="BK14" s="156">
        <f t="shared" si="55"/>
        <v>0.1</v>
      </c>
      <c r="BL14" s="157">
        <f>VLOOKUP($BJ2,'2.4. обяз-ва по соглаш'!$A$6:$E$21,5,0)</f>
        <v>5</v>
      </c>
      <c r="BM14" s="157">
        <f t="shared" si="56"/>
        <v>0.5</v>
      </c>
      <c r="BN14" s="158"/>
      <c r="BO14" s="156">
        <v>0.1</v>
      </c>
      <c r="BP14" s="156">
        <f t="shared" si="57"/>
        <v>0.1</v>
      </c>
      <c r="BQ14" s="157">
        <f>VLOOKUP($BO2,'2.4. обяз-ва по соглаш'!$A$6:$E$21,5,0)</f>
        <v>5</v>
      </c>
      <c r="BR14" s="157">
        <f t="shared" si="58"/>
        <v>0.5</v>
      </c>
      <c r="BS14" s="158"/>
      <c r="BT14" s="156">
        <v>0.1</v>
      </c>
      <c r="BU14" s="156"/>
      <c r="BV14" s="157"/>
      <c r="BW14" s="157"/>
      <c r="BX14" s="158"/>
      <c r="BY14" s="156">
        <v>0.1</v>
      </c>
      <c r="BZ14" s="156"/>
      <c r="CA14" s="157"/>
      <c r="CB14" s="157"/>
      <c r="CC14" s="158"/>
    </row>
    <row r="15" spans="1:81" s="164" customFormat="1" ht="30">
      <c r="A15" s="155" t="s">
        <v>112</v>
      </c>
      <c r="B15" s="156">
        <v>0.1</v>
      </c>
      <c r="C15" s="156">
        <f t="shared" ref="C15:C21" si="62">ROUND(B15*100%/65%,5)</f>
        <v>0.15384999999999999</v>
      </c>
      <c r="D15" s="157">
        <f>VLOOKUP($B2,'2.5. кред плат в бюдж'!$A$6:$F$21,6,0)</f>
        <v>5</v>
      </c>
      <c r="E15" s="157">
        <f t="shared" si="33"/>
        <v>0.77</v>
      </c>
      <c r="F15" s="158"/>
      <c r="G15" s="156">
        <v>0.1</v>
      </c>
      <c r="H15" s="156">
        <f t="shared" si="34"/>
        <v>0.1</v>
      </c>
      <c r="I15" s="157">
        <f>VLOOKUP($G2,'2.5. кред плат в бюдж'!$A$6:$F$21,6,0)</f>
        <v>5</v>
      </c>
      <c r="J15" s="157">
        <f t="shared" si="35"/>
        <v>0.5</v>
      </c>
      <c r="K15" s="158"/>
      <c r="L15" s="156">
        <v>0.1</v>
      </c>
      <c r="M15" s="156">
        <f t="shared" si="36"/>
        <v>0.1</v>
      </c>
      <c r="N15" s="157">
        <f>VLOOKUP($L2,'2.5. кред плат в бюдж'!$A$6:$F$21,6,0)</f>
        <v>5</v>
      </c>
      <c r="O15" s="157">
        <f t="shared" si="37"/>
        <v>0.5</v>
      </c>
      <c r="P15" s="158"/>
      <c r="Q15" s="156">
        <v>0.1</v>
      </c>
      <c r="R15" s="156">
        <f t="shared" si="38"/>
        <v>0.11111</v>
      </c>
      <c r="S15" s="157">
        <f>VLOOKUP($Q2,'2.5. кред плат в бюдж'!$A$6:$F$21,6,0)</f>
        <v>5</v>
      </c>
      <c r="T15" s="157">
        <f t="shared" si="39"/>
        <v>0.56000000000000005</v>
      </c>
      <c r="U15" s="158"/>
      <c r="V15" s="156">
        <v>0.1</v>
      </c>
      <c r="W15" s="156">
        <f t="shared" si="40"/>
        <v>0.11111</v>
      </c>
      <c r="X15" s="157">
        <f>VLOOKUP($V2,'2.5. кред плат в бюдж'!$A$6:$F$21,6,0)</f>
        <v>5</v>
      </c>
      <c r="Y15" s="157">
        <f t="shared" si="41"/>
        <v>0.56000000000000005</v>
      </c>
      <c r="Z15" s="158"/>
      <c r="AA15" s="156">
        <v>0.1</v>
      </c>
      <c r="AB15" s="156">
        <f t="shared" si="42"/>
        <v>0.1</v>
      </c>
      <c r="AC15" s="157">
        <f>VLOOKUP($AA2,'2.5. кред плат в бюдж'!$A$6:$F$21,6,0)</f>
        <v>5</v>
      </c>
      <c r="AD15" s="157">
        <f t="shared" si="43"/>
        <v>0.5</v>
      </c>
      <c r="AE15" s="158"/>
      <c r="AF15" s="156">
        <v>0.1</v>
      </c>
      <c r="AG15" s="156">
        <f t="shared" si="44"/>
        <v>0.1</v>
      </c>
      <c r="AH15" s="157">
        <f>VLOOKUP($AF2,'2.5. кред плат в бюдж'!$A$6:$F$21,6,0)</f>
        <v>5</v>
      </c>
      <c r="AI15" s="157">
        <f t="shared" si="45"/>
        <v>0.5</v>
      </c>
      <c r="AJ15" s="158"/>
      <c r="AK15" s="156">
        <v>0.1</v>
      </c>
      <c r="AL15" s="156">
        <f t="shared" si="32"/>
        <v>0.11111</v>
      </c>
      <c r="AM15" s="157">
        <f>VLOOKUP($AK2,'2.5. кред плат в бюдж'!$A$6:$F$21,6,0)</f>
        <v>5</v>
      </c>
      <c r="AN15" s="157">
        <f t="shared" si="46"/>
        <v>0.56000000000000005</v>
      </c>
      <c r="AO15" s="158"/>
      <c r="AP15" s="156">
        <v>0.1</v>
      </c>
      <c r="AQ15" s="156">
        <f t="shared" si="47"/>
        <v>0.11111</v>
      </c>
      <c r="AR15" s="157">
        <f>VLOOKUP($AP2,'2.5. кред плат в бюдж'!$A$6:$F$21,6,0)</f>
        <v>5</v>
      </c>
      <c r="AS15" s="157">
        <f t="shared" si="48"/>
        <v>0.56000000000000005</v>
      </c>
      <c r="AT15" s="158"/>
      <c r="AU15" s="156">
        <v>0.1</v>
      </c>
      <c r="AV15" s="156">
        <f t="shared" si="49"/>
        <v>0.1</v>
      </c>
      <c r="AW15" s="157">
        <f>VLOOKUP($AU2,'2.5. кред плат в бюдж'!$A$6:$F$21,6,0)</f>
        <v>5</v>
      </c>
      <c r="AX15" s="157">
        <f t="shared" si="50"/>
        <v>0.5</v>
      </c>
      <c r="AY15" s="158"/>
      <c r="AZ15" s="156">
        <v>0.1</v>
      </c>
      <c r="BA15" s="156">
        <f t="shared" si="51"/>
        <v>0.1</v>
      </c>
      <c r="BB15" s="157">
        <f>VLOOKUP($AZ2,'2.5. кред плат в бюдж'!$A$6:$F$21,6,0)</f>
        <v>5</v>
      </c>
      <c r="BC15" s="157">
        <f t="shared" si="52"/>
        <v>0.5</v>
      </c>
      <c r="BD15" s="158"/>
      <c r="BE15" s="156">
        <v>0.1</v>
      </c>
      <c r="BF15" s="156">
        <f t="shared" si="53"/>
        <v>0.1</v>
      </c>
      <c r="BG15" s="157">
        <f>VLOOKUP($BE2,'2.5. кред плат в бюдж'!$A$6:$F$21,6,0)</f>
        <v>5</v>
      </c>
      <c r="BH15" s="157">
        <f t="shared" si="54"/>
        <v>0.5</v>
      </c>
      <c r="BI15" s="158"/>
      <c r="BJ15" s="156">
        <v>0.1</v>
      </c>
      <c r="BK15" s="156">
        <f t="shared" si="55"/>
        <v>0.1</v>
      </c>
      <c r="BL15" s="157">
        <f>VLOOKUP($BJ2,'2.5. кред плат в бюдж'!$A$6:$F$21,6,0)</f>
        <v>5</v>
      </c>
      <c r="BM15" s="157">
        <f t="shared" si="56"/>
        <v>0.5</v>
      </c>
      <c r="BN15" s="158"/>
      <c r="BO15" s="156">
        <v>0.1</v>
      </c>
      <c r="BP15" s="156">
        <f t="shared" si="57"/>
        <v>0.1</v>
      </c>
      <c r="BQ15" s="157">
        <f>VLOOKUP($BO2,'2.5. кред плат в бюдж'!$A$6:$F$21,6,0)</f>
        <v>5</v>
      </c>
      <c r="BR15" s="157">
        <f t="shared" si="58"/>
        <v>0.5</v>
      </c>
      <c r="BS15" s="158"/>
      <c r="BT15" s="156">
        <v>0.1</v>
      </c>
      <c r="BU15" s="156">
        <f t="shared" si="59"/>
        <v>0.11111</v>
      </c>
      <c r="BV15" s="157">
        <f>VLOOKUP($BT2,'2.5. кред плат в бюдж'!$A$6:$F$21,6,0)</f>
        <v>5</v>
      </c>
      <c r="BW15" s="157">
        <f t="shared" si="60"/>
        <v>0.56000000000000005</v>
      </c>
      <c r="BX15" s="158"/>
      <c r="BY15" s="156">
        <v>0.1</v>
      </c>
      <c r="BZ15" s="156">
        <f t="shared" ref="BZ15:BZ21" si="63">ROUND(BY15*100%/65%,5)</f>
        <v>0.15384999999999999</v>
      </c>
      <c r="CA15" s="157">
        <f>VLOOKUP($BY2,'2.5. кред плат в бюдж'!$A$6:$F$21,6,0)</f>
        <v>5</v>
      </c>
      <c r="CB15" s="157">
        <f t="shared" si="61"/>
        <v>0.77</v>
      </c>
      <c r="CC15" s="158"/>
    </row>
    <row r="16" spans="1:81" s="165" customFormat="1" ht="45">
      <c r="A16" s="155" t="s">
        <v>113</v>
      </c>
      <c r="B16" s="156">
        <v>0.1</v>
      </c>
      <c r="C16" s="156">
        <f t="shared" si="62"/>
        <v>0.15384999999999999</v>
      </c>
      <c r="D16" s="157">
        <f>VLOOKUP($B2,'2.6. кред по расч с пост'!$A$6:$F$21,6,0)</f>
        <v>5</v>
      </c>
      <c r="E16" s="157">
        <f t="shared" si="33"/>
        <v>0.77</v>
      </c>
      <c r="F16" s="158"/>
      <c r="G16" s="156">
        <v>0.1</v>
      </c>
      <c r="H16" s="156">
        <f t="shared" si="34"/>
        <v>0.1</v>
      </c>
      <c r="I16" s="157">
        <f>VLOOKUP($G2,'2.6. кред по расч с пост'!$A$6:$F$21,6,0)</f>
        <v>5</v>
      </c>
      <c r="J16" s="157">
        <f t="shared" si="35"/>
        <v>0.5</v>
      </c>
      <c r="K16" s="158"/>
      <c r="L16" s="156">
        <v>0.1</v>
      </c>
      <c r="M16" s="156">
        <f t="shared" si="36"/>
        <v>0.1</v>
      </c>
      <c r="N16" s="157">
        <f>VLOOKUP($L2,'2.6. кред по расч с пост'!$A$6:$F$21,6,0)</f>
        <v>1</v>
      </c>
      <c r="O16" s="157">
        <f t="shared" si="37"/>
        <v>0.1</v>
      </c>
      <c r="P16" s="158"/>
      <c r="Q16" s="156">
        <v>0.1</v>
      </c>
      <c r="R16" s="156">
        <f t="shared" si="38"/>
        <v>0.11111</v>
      </c>
      <c r="S16" s="157">
        <f>VLOOKUP($Q2,'2.6. кред по расч с пост'!$A$6:$F$21,6,0)</f>
        <v>5</v>
      </c>
      <c r="T16" s="157">
        <f t="shared" si="39"/>
        <v>0.56000000000000005</v>
      </c>
      <c r="U16" s="158"/>
      <c r="V16" s="156">
        <v>0.1</v>
      </c>
      <c r="W16" s="156">
        <f t="shared" si="40"/>
        <v>0.11111</v>
      </c>
      <c r="X16" s="157">
        <f>VLOOKUP($V2,'2.6. кред по расч с пост'!$A$6:$F$21,6,0)</f>
        <v>5</v>
      </c>
      <c r="Y16" s="157">
        <f t="shared" si="41"/>
        <v>0.56000000000000005</v>
      </c>
      <c r="Z16" s="158"/>
      <c r="AA16" s="156">
        <v>0.1</v>
      </c>
      <c r="AB16" s="156">
        <f t="shared" si="42"/>
        <v>0.1</v>
      </c>
      <c r="AC16" s="157">
        <f>VLOOKUP($AA2,'2.6. кред по расч с пост'!$A$6:$F$21,6,0)</f>
        <v>5</v>
      </c>
      <c r="AD16" s="157">
        <f t="shared" si="43"/>
        <v>0.5</v>
      </c>
      <c r="AE16" s="158"/>
      <c r="AF16" s="156">
        <v>0.1</v>
      </c>
      <c r="AG16" s="156">
        <f t="shared" si="44"/>
        <v>0.1</v>
      </c>
      <c r="AH16" s="157">
        <f>VLOOKUP($AF2,'2.6. кред по расч с пост'!$A$6:$F$21,6,0)</f>
        <v>5</v>
      </c>
      <c r="AI16" s="157">
        <f t="shared" si="45"/>
        <v>0.5</v>
      </c>
      <c r="AJ16" s="158"/>
      <c r="AK16" s="156">
        <v>0.1</v>
      </c>
      <c r="AL16" s="156">
        <f t="shared" si="32"/>
        <v>0.11111</v>
      </c>
      <c r="AM16" s="157">
        <f>VLOOKUP($AK2,'2.6. кред по расч с пост'!$A$6:$F$21,6,0)</f>
        <v>5</v>
      </c>
      <c r="AN16" s="157">
        <f t="shared" si="46"/>
        <v>0.56000000000000005</v>
      </c>
      <c r="AO16" s="158"/>
      <c r="AP16" s="156">
        <v>0.1</v>
      </c>
      <c r="AQ16" s="156">
        <f t="shared" si="47"/>
        <v>0.11111</v>
      </c>
      <c r="AR16" s="157">
        <f>VLOOKUP($AP2,'2.6. кред по расч с пост'!$A$6:$F$21,6,0)</f>
        <v>5</v>
      </c>
      <c r="AS16" s="157">
        <f t="shared" si="48"/>
        <v>0.56000000000000005</v>
      </c>
      <c r="AT16" s="158"/>
      <c r="AU16" s="156">
        <v>0.1</v>
      </c>
      <c r="AV16" s="156">
        <f t="shared" si="49"/>
        <v>0.1</v>
      </c>
      <c r="AW16" s="157">
        <f>VLOOKUP($AU2,'2.6. кред по расч с пост'!$A$6:$F$21,6,0)</f>
        <v>5</v>
      </c>
      <c r="AX16" s="157">
        <f t="shared" si="50"/>
        <v>0.5</v>
      </c>
      <c r="AY16" s="158"/>
      <c r="AZ16" s="156">
        <v>0.1</v>
      </c>
      <c r="BA16" s="156">
        <f t="shared" si="51"/>
        <v>0.1</v>
      </c>
      <c r="BB16" s="157">
        <f>VLOOKUP($AZ2,'2.6. кред по расч с пост'!$A$6:$F$21,6,0)</f>
        <v>5</v>
      </c>
      <c r="BC16" s="157">
        <f t="shared" si="52"/>
        <v>0.5</v>
      </c>
      <c r="BD16" s="158"/>
      <c r="BE16" s="156">
        <v>0.1</v>
      </c>
      <c r="BF16" s="156">
        <f t="shared" si="53"/>
        <v>0.1</v>
      </c>
      <c r="BG16" s="157">
        <f>VLOOKUP($BE2,'2.6. кред по расч с пост'!$A$6:$F$21,6,0)</f>
        <v>3</v>
      </c>
      <c r="BH16" s="157">
        <f t="shared" si="54"/>
        <v>0.3</v>
      </c>
      <c r="BI16" s="158"/>
      <c r="BJ16" s="156">
        <v>0.1</v>
      </c>
      <c r="BK16" s="156">
        <f t="shared" si="55"/>
        <v>0.1</v>
      </c>
      <c r="BL16" s="157">
        <f>VLOOKUP($BJ2,'2.6. кред по расч с пост'!$A$6:$F$21,6,0)</f>
        <v>5</v>
      </c>
      <c r="BM16" s="157">
        <f t="shared" si="56"/>
        <v>0.5</v>
      </c>
      <c r="BN16" s="158"/>
      <c r="BO16" s="156">
        <v>0.1</v>
      </c>
      <c r="BP16" s="156">
        <f t="shared" si="57"/>
        <v>0.1</v>
      </c>
      <c r="BQ16" s="157">
        <f>VLOOKUP($BO2,'2.6. кред по расч с пост'!$A$6:$F$21,6,0)</f>
        <v>5</v>
      </c>
      <c r="BR16" s="157">
        <f t="shared" si="58"/>
        <v>0.5</v>
      </c>
      <c r="BS16" s="158"/>
      <c r="BT16" s="156">
        <v>0.1</v>
      </c>
      <c r="BU16" s="156">
        <f t="shared" si="59"/>
        <v>0.11111</v>
      </c>
      <c r="BV16" s="157">
        <f>VLOOKUP($BT2,'2.6. кред по расч с пост'!$A$6:$F$21,6,0)</f>
        <v>5</v>
      </c>
      <c r="BW16" s="157">
        <f t="shared" si="60"/>
        <v>0.56000000000000005</v>
      </c>
      <c r="BX16" s="158"/>
      <c r="BY16" s="156">
        <v>0.1</v>
      </c>
      <c r="BZ16" s="156">
        <f t="shared" si="63"/>
        <v>0.15384999999999999</v>
      </c>
      <c r="CA16" s="157">
        <f>VLOOKUP($BY2,'2.6. кред по расч с пост'!$A$6:$F$21,6,0)</f>
        <v>5</v>
      </c>
      <c r="CB16" s="157">
        <f t="shared" si="61"/>
        <v>0.77</v>
      </c>
      <c r="CC16" s="158"/>
    </row>
    <row r="17" spans="1:81" s="165" customFormat="1" ht="30">
      <c r="A17" s="155" t="s">
        <v>114</v>
      </c>
      <c r="B17" s="156">
        <v>0.05</v>
      </c>
      <c r="C17" s="156">
        <f t="shared" si="62"/>
        <v>7.6920000000000002E-2</v>
      </c>
      <c r="D17" s="157">
        <f>VLOOKUP($B2,'2.7 изм кред'!$A$6:$F$21,6,0)</f>
        <v>2</v>
      </c>
      <c r="E17" s="157">
        <f t="shared" si="33"/>
        <v>0.15</v>
      </c>
      <c r="F17" s="158"/>
      <c r="G17" s="156">
        <v>0.05</v>
      </c>
      <c r="H17" s="156">
        <f t="shared" si="34"/>
        <v>0.05</v>
      </c>
      <c r="I17" s="157">
        <f>VLOOKUP($G2,'2.7 изм кред'!$A$6:$F$21,6,0)</f>
        <v>0</v>
      </c>
      <c r="J17" s="157">
        <f t="shared" si="35"/>
        <v>0</v>
      </c>
      <c r="K17" s="158"/>
      <c r="L17" s="156">
        <v>0.05</v>
      </c>
      <c r="M17" s="156">
        <f t="shared" si="36"/>
        <v>0.05</v>
      </c>
      <c r="N17" s="157">
        <f>VLOOKUP($L2,'2.7 изм кред'!$A$6:$F$21,6,0)</f>
        <v>0</v>
      </c>
      <c r="O17" s="157">
        <f t="shared" si="37"/>
        <v>0</v>
      </c>
      <c r="P17" s="158"/>
      <c r="Q17" s="156">
        <v>0.05</v>
      </c>
      <c r="R17" s="156">
        <f t="shared" si="38"/>
        <v>5.5559999999999998E-2</v>
      </c>
      <c r="S17" s="157">
        <f>VLOOKUP($Q2,'2.7 изм кред'!$A$6:$F$21,6,0)</f>
        <v>0</v>
      </c>
      <c r="T17" s="157">
        <f t="shared" si="39"/>
        <v>0</v>
      </c>
      <c r="U17" s="158"/>
      <c r="V17" s="156">
        <v>0.05</v>
      </c>
      <c r="W17" s="156">
        <f t="shared" si="40"/>
        <v>5.5559999999999998E-2</v>
      </c>
      <c r="X17" s="157">
        <f>VLOOKUP($V2,'2.7 изм кред'!$A$6:$F$21,6,0)</f>
        <v>5</v>
      </c>
      <c r="Y17" s="157">
        <f t="shared" si="41"/>
        <v>0.28000000000000003</v>
      </c>
      <c r="Z17" s="158"/>
      <c r="AA17" s="156">
        <v>0.05</v>
      </c>
      <c r="AB17" s="156">
        <f t="shared" si="42"/>
        <v>0.05</v>
      </c>
      <c r="AC17" s="157">
        <f>VLOOKUP($AA2,'2.7 изм кред'!$A$6:$F$21,6,0)</f>
        <v>0</v>
      </c>
      <c r="AD17" s="157">
        <f t="shared" si="43"/>
        <v>0</v>
      </c>
      <c r="AE17" s="158"/>
      <c r="AF17" s="156">
        <v>0.05</v>
      </c>
      <c r="AG17" s="156">
        <f t="shared" si="44"/>
        <v>0.05</v>
      </c>
      <c r="AH17" s="157">
        <f>VLOOKUP($AF2,'2.7 изм кред'!$A$6:$F$21,6,0)</f>
        <v>0</v>
      </c>
      <c r="AI17" s="157">
        <f t="shared" si="45"/>
        <v>0</v>
      </c>
      <c r="AJ17" s="158"/>
      <c r="AK17" s="156">
        <v>0.05</v>
      </c>
      <c r="AL17" s="156">
        <f t="shared" si="32"/>
        <v>5.5559999999999998E-2</v>
      </c>
      <c r="AM17" s="157">
        <f>VLOOKUP($AK2,'2.7 изм кред'!$A$6:$F$21,6,0)</f>
        <v>5</v>
      </c>
      <c r="AN17" s="157">
        <f t="shared" si="46"/>
        <v>0.28000000000000003</v>
      </c>
      <c r="AO17" s="158"/>
      <c r="AP17" s="156">
        <v>0.05</v>
      </c>
      <c r="AQ17" s="156">
        <f t="shared" si="47"/>
        <v>5.5559999999999998E-2</v>
      </c>
      <c r="AR17" s="157">
        <f>VLOOKUP($AP2,'2.7 изм кред'!$A$6:$F$21,6,0)</f>
        <v>2</v>
      </c>
      <c r="AS17" s="157">
        <f t="shared" si="48"/>
        <v>0.11</v>
      </c>
      <c r="AT17" s="158"/>
      <c r="AU17" s="156">
        <v>0.05</v>
      </c>
      <c r="AV17" s="156">
        <f t="shared" si="49"/>
        <v>0.05</v>
      </c>
      <c r="AW17" s="157">
        <f>VLOOKUP($AU2,'2.7 изм кред'!$A$6:$F$21,6,0)</f>
        <v>5</v>
      </c>
      <c r="AX17" s="157">
        <f t="shared" si="50"/>
        <v>0.25</v>
      </c>
      <c r="AY17" s="158"/>
      <c r="AZ17" s="156">
        <v>0.05</v>
      </c>
      <c r="BA17" s="156">
        <f t="shared" si="51"/>
        <v>0.05</v>
      </c>
      <c r="BB17" s="157">
        <f>VLOOKUP($AZ2,'2.7 изм кред'!$A$6:$F$21,6,0)</f>
        <v>0</v>
      </c>
      <c r="BC17" s="157">
        <f t="shared" si="52"/>
        <v>0</v>
      </c>
      <c r="BD17" s="158"/>
      <c r="BE17" s="156">
        <v>0.05</v>
      </c>
      <c r="BF17" s="156">
        <f t="shared" si="53"/>
        <v>0.05</v>
      </c>
      <c r="BG17" s="157">
        <f>VLOOKUP($BE2,'2.7 изм кред'!$A$6:$F$21,6,0)</f>
        <v>0</v>
      </c>
      <c r="BH17" s="157">
        <f t="shared" si="54"/>
        <v>0</v>
      </c>
      <c r="BI17" s="158"/>
      <c r="BJ17" s="156">
        <v>0.05</v>
      </c>
      <c r="BK17" s="156">
        <f t="shared" si="55"/>
        <v>0.05</v>
      </c>
      <c r="BL17" s="157">
        <f>VLOOKUP($BJ2,'2.7 изм кред'!$A$6:$F$21,6,0)</f>
        <v>1</v>
      </c>
      <c r="BM17" s="157">
        <f t="shared" si="56"/>
        <v>0.05</v>
      </c>
      <c r="BN17" s="158"/>
      <c r="BO17" s="156">
        <v>0.05</v>
      </c>
      <c r="BP17" s="156">
        <f t="shared" si="57"/>
        <v>0.05</v>
      </c>
      <c r="BQ17" s="157">
        <f>VLOOKUP($BO2,'2.7 изм кред'!$A$6:$F$21,6,0)</f>
        <v>0</v>
      </c>
      <c r="BR17" s="157">
        <f t="shared" si="58"/>
        <v>0</v>
      </c>
      <c r="BS17" s="158"/>
      <c r="BT17" s="156">
        <v>0.05</v>
      </c>
      <c r="BU17" s="156">
        <f t="shared" si="59"/>
        <v>5.5559999999999998E-2</v>
      </c>
      <c r="BV17" s="157">
        <f>VLOOKUP($BT2,'2.7 изм кред'!$A$6:$F$21,6,0)</f>
        <v>1</v>
      </c>
      <c r="BW17" s="157">
        <f t="shared" si="60"/>
        <v>0.06</v>
      </c>
      <c r="BX17" s="158"/>
      <c r="BY17" s="156">
        <v>0.05</v>
      </c>
      <c r="BZ17" s="156">
        <f t="shared" si="63"/>
        <v>7.6920000000000002E-2</v>
      </c>
      <c r="CA17" s="157">
        <f>VLOOKUP($BY2,'2.7 изм кред'!$A$6:$F$21,6,0)</f>
        <v>0</v>
      </c>
      <c r="CB17" s="157">
        <f t="shared" si="61"/>
        <v>0</v>
      </c>
      <c r="CC17" s="158"/>
    </row>
    <row r="18" spans="1:81" s="165" customFormat="1" ht="30">
      <c r="A18" s="155" t="s">
        <v>115</v>
      </c>
      <c r="B18" s="156">
        <v>0.05</v>
      </c>
      <c r="C18" s="156">
        <f t="shared" si="62"/>
        <v>7.6920000000000002E-2</v>
      </c>
      <c r="D18" s="157">
        <f>VLOOKUP($B2,'2.8 упр деб зад'!$A$6:$F$21,6,0)</f>
        <v>5</v>
      </c>
      <c r="E18" s="157">
        <f t="shared" si="33"/>
        <v>0.38</v>
      </c>
      <c r="F18" s="158"/>
      <c r="G18" s="156">
        <v>0.05</v>
      </c>
      <c r="H18" s="156">
        <f t="shared" si="34"/>
        <v>0.05</v>
      </c>
      <c r="I18" s="157">
        <f>VLOOKUP($G2,'2.8 упр деб зад'!$A$6:$F$21,6,0)</f>
        <v>0</v>
      </c>
      <c r="J18" s="157">
        <f t="shared" si="35"/>
        <v>0</v>
      </c>
      <c r="K18" s="158"/>
      <c r="L18" s="156">
        <v>0.05</v>
      </c>
      <c r="M18" s="156">
        <f t="shared" si="36"/>
        <v>0.05</v>
      </c>
      <c r="N18" s="157">
        <f>VLOOKUP($L2,'2.8 упр деб зад'!$A$6:$F$21,6,0)</f>
        <v>0</v>
      </c>
      <c r="O18" s="157">
        <f t="shared" si="37"/>
        <v>0</v>
      </c>
      <c r="P18" s="158"/>
      <c r="Q18" s="156">
        <v>0.05</v>
      </c>
      <c r="R18" s="156">
        <f t="shared" si="38"/>
        <v>5.5559999999999998E-2</v>
      </c>
      <c r="S18" s="157">
        <f>VLOOKUP($Q2,'2.8 упр деб зад'!$A$6:$F$21,6,0)</f>
        <v>0</v>
      </c>
      <c r="T18" s="157">
        <f t="shared" si="39"/>
        <v>0</v>
      </c>
      <c r="U18" s="158"/>
      <c r="V18" s="156">
        <v>0.05</v>
      </c>
      <c r="W18" s="156">
        <f t="shared" si="40"/>
        <v>5.5559999999999998E-2</v>
      </c>
      <c r="X18" s="157">
        <f>VLOOKUP($V2,'2.8 упр деб зад'!$A$6:$F$21,6,0)</f>
        <v>0</v>
      </c>
      <c r="Y18" s="157">
        <f t="shared" si="41"/>
        <v>0</v>
      </c>
      <c r="Z18" s="158"/>
      <c r="AA18" s="156">
        <v>0.05</v>
      </c>
      <c r="AB18" s="156">
        <f t="shared" si="42"/>
        <v>0.05</v>
      </c>
      <c r="AC18" s="157">
        <f>VLOOKUP($AA2,'2.8 упр деб зад'!$A$6:$F$21,6,0)</f>
        <v>0</v>
      </c>
      <c r="AD18" s="157">
        <f t="shared" si="43"/>
        <v>0</v>
      </c>
      <c r="AE18" s="158"/>
      <c r="AF18" s="156">
        <v>0.05</v>
      </c>
      <c r="AG18" s="156">
        <f t="shared" si="44"/>
        <v>0.05</v>
      </c>
      <c r="AH18" s="157">
        <f>VLOOKUP($AF2,'2.8 упр деб зад'!$A$6:$F$21,6,0)</f>
        <v>0</v>
      </c>
      <c r="AI18" s="157">
        <f t="shared" si="45"/>
        <v>0</v>
      </c>
      <c r="AJ18" s="158"/>
      <c r="AK18" s="156">
        <v>0.05</v>
      </c>
      <c r="AL18" s="156">
        <f t="shared" si="32"/>
        <v>5.5559999999999998E-2</v>
      </c>
      <c r="AM18" s="157">
        <f>VLOOKUP($AK2,'2.8 упр деб зад'!$A$6:$F$21,6,0)</f>
        <v>0</v>
      </c>
      <c r="AN18" s="157">
        <f t="shared" si="46"/>
        <v>0</v>
      </c>
      <c r="AO18" s="158"/>
      <c r="AP18" s="156">
        <v>0.05</v>
      </c>
      <c r="AQ18" s="156">
        <f t="shared" si="47"/>
        <v>5.5559999999999998E-2</v>
      </c>
      <c r="AR18" s="157">
        <f>VLOOKUP($AP2,'2.8 упр деб зад'!$A$6:$F$21,6,0)</f>
        <v>5</v>
      </c>
      <c r="AS18" s="157">
        <f t="shared" si="48"/>
        <v>0.28000000000000003</v>
      </c>
      <c r="AT18" s="158"/>
      <c r="AU18" s="156">
        <v>0.05</v>
      </c>
      <c r="AV18" s="156">
        <f t="shared" si="49"/>
        <v>0.05</v>
      </c>
      <c r="AW18" s="157">
        <f>VLOOKUP($AU2,'2.8 упр деб зад'!$A$6:$F$21,6,0)</f>
        <v>0</v>
      </c>
      <c r="AX18" s="157">
        <f t="shared" si="50"/>
        <v>0</v>
      </c>
      <c r="AY18" s="158"/>
      <c r="AZ18" s="156">
        <v>0.05</v>
      </c>
      <c r="BA18" s="156">
        <f t="shared" si="51"/>
        <v>0.05</v>
      </c>
      <c r="BB18" s="157">
        <f>VLOOKUP($AZ2,'2.8 упр деб зад'!$A$6:$F$21,6,0)</f>
        <v>0</v>
      </c>
      <c r="BC18" s="157">
        <f t="shared" si="52"/>
        <v>0</v>
      </c>
      <c r="BD18" s="158"/>
      <c r="BE18" s="156">
        <v>0.05</v>
      </c>
      <c r="BF18" s="156">
        <f t="shared" si="53"/>
        <v>0.05</v>
      </c>
      <c r="BG18" s="157">
        <f>VLOOKUP($BE2,'2.8 упр деб зад'!$A$6:$F$21,6,0)</f>
        <v>0</v>
      </c>
      <c r="BH18" s="157">
        <f t="shared" si="54"/>
        <v>0</v>
      </c>
      <c r="BI18" s="158"/>
      <c r="BJ18" s="156">
        <v>0.05</v>
      </c>
      <c r="BK18" s="156">
        <f t="shared" si="55"/>
        <v>0.05</v>
      </c>
      <c r="BL18" s="157">
        <f>VLOOKUP($BJ2,'2.8 упр деб зад'!$A$6:$F$21,6,0)</f>
        <v>0</v>
      </c>
      <c r="BM18" s="157">
        <f t="shared" si="56"/>
        <v>0</v>
      </c>
      <c r="BN18" s="158"/>
      <c r="BO18" s="156">
        <v>0.05</v>
      </c>
      <c r="BP18" s="156">
        <f t="shared" si="57"/>
        <v>0.05</v>
      </c>
      <c r="BQ18" s="157">
        <f>VLOOKUP($BO2,'2.8 упр деб зад'!$A$6:$F$21,6,0)</f>
        <v>0</v>
      </c>
      <c r="BR18" s="157">
        <f t="shared" si="58"/>
        <v>0</v>
      </c>
      <c r="BS18" s="158"/>
      <c r="BT18" s="156">
        <v>0.05</v>
      </c>
      <c r="BU18" s="156">
        <f t="shared" si="59"/>
        <v>5.5559999999999998E-2</v>
      </c>
      <c r="BV18" s="157">
        <f>VLOOKUP($BT2,'2.8 упр деб зад'!$A$6:$F$21,6,0)</f>
        <v>2</v>
      </c>
      <c r="BW18" s="157">
        <f t="shared" si="60"/>
        <v>0.11</v>
      </c>
      <c r="BX18" s="158"/>
      <c r="BY18" s="156">
        <v>0.05</v>
      </c>
      <c r="BZ18" s="156">
        <f t="shared" si="63"/>
        <v>7.6920000000000002E-2</v>
      </c>
      <c r="CA18" s="157">
        <f>VLOOKUP($BY2,'2.8 упр деб зад'!$A$6:$F$21,6,0)</f>
        <v>5</v>
      </c>
      <c r="CB18" s="157">
        <f t="shared" si="61"/>
        <v>0.38</v>
      </c>
      <c r="CC18" s="158"/>
    </row>
    <row r="19" spans="1:81" s="39" customFormat="1" ht="30">
      <c r="A19" s="160" t="s">
        <v>116</v>
      </c>
      <c r="B19" s="161">
        <v>0.05</v>
      </c>
      <c r="C19" s="161">
        <f t="shared" si="62"/>
        <v>7.6920000000000002E-2</v>
      </c>
      <c r="D19" s="166">
        <f>VLOOKUP($B2,'2.9 изм деб'!$A$6:$F$21,6,0)</f>
        <v>1</v>
      </c>
      <c r="E19" s="162">
        <f t="shared" si="33"/>
        <v>0.08</v>
      </c>
      <c r="F19" s="163"/>
      <c r="G19" s="161">
        <v>0.05</v>
      </c>
      <c r="H19" s="161">
        <f t="shared" si="34"/>
        <v>0.05</v>
      </c>
      <c r="I19" s="162">
        <f>VLOOKUP($G2,'2.9 изм деб'!$A$6:$F$21,6,0)</f>
        <v>5</v>
      </c>
      <c r="J19" s="162">
        <f t="shared" si="35"/>
        <v>0.25</v>
      </c>
      <c r="K19" s="163"/>
      <c r="L19" s="161">
        <v>0.05</v>
      </c>
      <c r="M19" s="161">
        <f t="shared" si="36"/>
        <v>0.05</v>
      </c>
      <c r="N19" s="162">
        <f>VLOOKUP($L2,'2.9 изм деб'!$A$6:$F$21,6,0)</f>
        <v>5</v>
      </c>
      <c r="O19" s="162">
        <f t="shared" si="37"/>
        <v>0.25</v>
      </c>
      <c r="P19" s="163"/>
      <c r="Q19" s="161">
        <v>0.05</v>
      </c>
      <c r="R19" s="161">
        <f t="shared" si="38"/>
        <v>5.5559999999999998E-2</v>
      </c>
      <c r="S19" s="162">
        <f>VLOOKUP($Q2,'2.9 изм деб'!$A$6:$F$21,6,0)</f>
        <v>1</v>
      </c>
      <c r="T19" s="162">
        <f t="shared" si="39"/>
        <v>0.06</v>
      </c>
      <c r="U19" s="163"/>
      <c r="V19" s="161">
        <v>0.05</v>
      </c>
      <c r="W19" s="161">
        <f t="shared" si="40"/>
        <v>5.5559999999999998E-2</v>
      </c>
      <c r="X19" s="162">
        <f>VLOOKUP($V2,'2.9 изм деб'!$A$6:$F$21,6,0)</f>
        <v>1</v>
      </c>
      <c r="Y19" s="162">
        <f t="shared" si="41"/>
        <v>0.06</v>
      </c>
      <c r="Z19" s="163"/>
      <c r="AA19" s="161">
        <v>0.05</v>
      </c>
      <c r="AB19" s="161">
        <f t="shared" si="42"/>
        <v>0.05</v>
      </c>
      <c r="AC19" s="162">
        <f>VLOOKUP($AA2,'2.9 изм деб'!$A$6:$F$21,6,0)</f>
        <v>2</v>
      </c>
      <c r="AD19" s="162">
        <f t="shared" si="43"/>
        <v>0.1</v>
      </c>
      <c r="AE19" s="163"/>
      <c r="AF19" s="161">
        <v>0.05</v>
      </c>
      <c r="AG19" s="161">
        <f t="shared" si="44"/>
        <v>0.05</v>
      </c>
      <c r="AH19" s="162">
        <f>VLOOKUP($AF2,'2.9 изм деб'!$A$6:$F$21,6,0)</f>
        <v>5</v>
      </c>
      <c r="AI19" s="162">
        <f t="shared" si="45"/>
        <v>0.25</v>
      </c>
      <c r="AJ19" s="163"/>
      <c r="AK19" s="161">
        <v>0.05</v>
      </c>
      <c r="AL19" s="161">
        <f t="shared" si="32"/>
        <v>5.5559999999999998E-2</v>
      </c>
      <c r="AM19" s="162">
        <f>VLOOKUP($AK2,'2.9 изм деб'!$A$6:$F$21,6,0)</f>
        <v>0</v>
      </c>
      <c r="AN19" s="162">
        <f t="shared" si="46"/>
        <v>0</v>
      </c>
      <c r="AO19" s="163"/>
      <c r="AP19" s="161">
        <v>0.05</v>
      </c>
      <c r="AQ19" s="161">
        <f t="shared" si="47"/>
        <v>5.5559999999999998E-2</v>
      </c>
      <c r="AR19" s="162">
        <f>VLOOKUP($AP2,'2.9 изм деб'!$A$6:$F$21,6,0)</f>
        <v>0</v>
      </c>
      <c r="AS19" s="162">
        <f t="shared" si="48"/>
        <v>0</v>
      </c>
      <c r="AT19" s="163"/>
      <c r="AU19" s="161">
        <v>0.05</v>
      </c>
      <c r="AV19" s="161">
        <f t="shared" si="49"/>
        <v>0.05</v>
      </c>
      <c r="AW19" s="162">
        <f>VLOOKUP($AU2,'2.9 изм деб'!$A$6:$F$21,6,0)</f>
        <v>0</v>
      </c>
      <c r="AX19" s="162">
        <f t="shared" si="50"/>
        <v>0</v>
      </c>
      <c r="AY19" s="163"/>
      <c r="AZ19" s="161">
        <v>0.05</v>
      </c>
      <c r="BA19" s="161">
        <f t="shared" si="51"/>
        <v>0.05</v>
      </c>
      <c r="BB19" s="162">
        <f>VLOOKUP($AZ2,'2.9 изм деб'!$A$6:$F$21,6,0)</f>
        <v>0</v>
      </c>
      <c r="BC19" s="162">
        <f t="shared" si="52"/>
        <v>0</v>
      </c>
      <c r="BD19" s="163"/>
      <c r="BE19" s="161">
        <v>0.05</v>
      </c>
      <c r="BF19" s="161">
        <f t="shared" si="53"/>
        <v>0.05</v>
      </c>
      <c r="BG19" s="162">
        <f>VLOOKUP($BE2,'2.9 изм деб'!$A$6:$F$21,6,0)</f>
        <v>0</v>
      </c>
      <c r="BH19" s="162">
        <f t="shared" si="54"/>
        <v>0</v>
      </c>
      <c r="BI19" s="163"/>
      <c r="BJ19" s="161">
        <v>0.05</v>
      </c>
      <c r="BK19" s="161">
        <f t="shared" si="55"/>
        <v>0.05</v>
      </c>
      <c r="BL19" s="162">
        <f>VLOOKUP($BJ2,'2.9 изм деб'!$A$6:$F$21,6,0)</f>
        <v>4</v>
      </c>
      <c r="BM19" s="162">
        <f t="shared" si="56"/>
        <v>0.2</v>
      </c>
      <c r="BN19" s="163"/>
      <c r="BO19" s="161">
        <v>0.05</v>
      </c>
      <c r="BP19" s="161">
        <f t="shared" si="57"/>
        <v>0.05</v>
      </c>
      <c r="BQ19" s="162">
        <f>VLOOKUP($BO2,'2.9 изм деб'!$A$6:$F$21,6,0)</f>
        <v>0</v>
      </c>
      <c r="BR19" s="162">
        <f t="shared" si="58"/>
        <v>0</v>
      </c>
      <c r="BS19" s="163"/>
      <c r="BT19" s="161">
        <v>0.05</v>
      </c>
      <c r="BU19" s="161">
        <f t="shared" si="59"/>
        <v>5.5559999999999998E-2</v>
      </c>
      <c r="BV19" s="162">
        <f>VLOOKUP($BT2,'2.9 изм деб'!$A$6:$F$21,6,0)</f>
        <v>5</v>
      </c>
      <c r="BW19" s="162">
        <f t="shared" si="60"/>
        <v>0.28000000000000003</v>
      </c>
      <c r="BX19" s="163"/>
      <c r="BY19" s="161">
        <v>0.05</v>
      </c>
      <c r="BZ19" s="161">
        <f t="shared" si="63"/>
        <v>7.6920000000000002E-2</v>
      </c>
      <c r="CA19" s="162">
        <f>VLOOKUP($BY2,'2.9 изм деб'!$A$6:$F$21,6,0)</f>
        <v>5</v>
      </c>
      <c r="CB19" s="162">
        <f t="shared" si="61"/>
        <v>0.38</v>
      </c>
      <c r="CC19" s="163"/>
    </row>
    <row r="20" spans="1:81" s="39" customFormat="1" ht="75">
      <c r="A20" s="160" t="s">
        <v>117</v>
      </c>
      <c r="B20" s="161">
        <v>0.05</v>
      </c>
      <c r="C20" s="161">
        <f t="shared" si="62"/>
        <v>7.6920000000000002E-2</v>
      </c>
      <c r="D20" s="167">
        <f>VLOOKUP($B2,'2.10 невыясн поступл'!$A$6:$E$24,5,0)</f>
        <v>0</v>
      </c>
      <c r="E20" s="162">
        <f t="shared" si="33"/>
        <v>0</v>
      </c>
      <c r="F20" s="163"/>
      <c r="G20" s="161">
        <v>0.05</v>
      </c>
      <c r="H20" s="161">
        <f t="shared" si="34"/>
        <v>0.05</v>
      </c>
      <c r="I20" s="167">
        <f>VLOOKUP($G2,'2.10 невыясн поступл'!$A$6:$E$24,5,0)</f>
        <v>5</v>
      </c>
      <c r="J20" s="162">
        <f t="shared" si="35"/>
        <v>0.25</v>
      </c>
      <c r="K20" s="163"/>
      <c r="L20" s="161">
        <v>0.05</v>
      </c>
      <c r="M20" s="161">
        <f t="shared" si="36"/>
        <v>0.05</v>
      </c>
      <c r="N20" s="167">
        <f>VLOOKUP($L2,'2.10 невыясн поступл'!$A$6:$E$24,5,0)</f>
        <v>5</v>
      </c>
      <c r="O20" s="162">
        <f t="shared" si="37"/>
        <v>0.25</v>
      </c>
      <c r="P20" s="163"/>
      <c r="Q20" s="161">
        <v>0.05</v>
      </c>
      <c r="R20" s="161">
        <f t="shared" si="38"/>
        <v>5.5559999999999998E-2</v>
      </c>
      <c r="S20" s="167">
        <f>VLOOKUP($Q2,'2.10 невыясн поступл'!$A$6:$E$24,5,0)</f>
        <v>5</v>
      </c>
      <c r="T20" s="162">
        <f t="shared" si="39"/>
        <v>0.28000000000000003</v>
      </c>
      <c r="U20" s="163"/>
      <c r="V20" s="161">
        <v>0.05</v>
      </c>
      <c r="W20" s="161">
        <f t="shared" si="40"/>
        <v>5.5559999999999998E-2</v>
      </c>
      <c r="X20" s="167">
        <f>VLOOKUP($V2,'2.10 невыясн поступл'!$A$6:$E$24,5,0)</f>
        <v>5</v>
      </c>
      <c r="Y20" s="162">
        <f t="shared" si="41"/>
        <v>0.28000000000000003</v>
      </c>
      <c r="Z20" s="163"/>
      <c r="AA20" s="161">
        <v>0.05</v>
      </c>
      <c r="AB20" s="161">
        <f t="shared" si="42"/>
        <v>0.05</v>
      </c>
      <c r="AC20" s="167">
        <f>VLOOKUP($AA2,'2.10 невыясн поступл'!$A$6:$E$24,5,0)</f>
        <v>5</v>
      </c>
      <c r="AD20" s="162">
        <f t="shared" si="43"/>
        <v>0.25</v>
      </c>
      <c r="AE20" s="163"/>
      <c r="AF20" s="161">
        <v>0.05</v>
      </c>
      <c r="AG20" s="161">
        <f t="shared" si="44"/>
        <v>0.05</v>
      </c>
      <c r="AH20" s="167">
        <f>VLOOKUP($AF2,'2.10 невыясн поступл'!$A$6:$E$24,5,0)</f>
        <v>5</v>
      </c>
      <c r="AI20" s="162">
        <f t="shared" si="45"/>
        <v>0.25</v>
      </c>
      <c r="AJ20" s="163"/>
      <c r="AK20" s="161">
        <v>0.05</v>
      </c>
      <c r="AL20" s="161">
        <f t="shared" si="32"/>
        <v>5.5559999999999998E-2</v>
      </c>
      <c r="AM20" s="167">
        <f>VLOOKUP($AK2,'2.10 невыясн поступл'!$A$6:$E$24,5,0)</f>
        <v>5</v>
      </c>
      <c r="AN20" s="162">
        <f t="shared" si="46"/>
        <v>0.28000000000000003</v>
      </c>
      <c r="AO20" s="163"/>
      <c r="AP20" s="161">
        <v>0.05</v>
      </c>
      <c r="AQ20" s="161">
        <f t="shared" si="47"/>
        <v>5.5559999999999998E-2</v>
      </c>
      <c r="AR20" s="167">
        <f>VLOOKUP($AP2,'2.10 невыясн поступл'!$A$6:$E$24,5,0)</f>
        <v>5</v>
      </c>
      <c r="AS20" s="162">
        <f t="shared" si="48"/>
        <v>0.28000000000000003</v>
      </c>
      <c r="AT20" s="163"/>
      <c r="AU20" s="161">
        <v>0.05</v>
      </c>
      <c r="AV20" s="161">
        <f t="shared" si="49"/>
        <v>0.05</v>
      </c>
      <c r="AW20" s="167">
        <f>VLOOKUP($AU2,'2.10 невыясн поступл'!$A$6:$E$24,5,0)</f>
        <v>5</v>
      </c>
      <c r="AX20" s="162">
        <f t="shared" si="50"/>
        <v>0.25</v>
      </c>
      <c r="AY20" s="163"/>
      <c r="AZ20" s="161">
        <v>0.05</v>
      </c>
      <c r="BA20" s="161">
        <f t="shared" si="51"/>
        <v>0.05</v>
      </c>
      <c r="BB20" s="167">
        <f>VLOOKUP($AZ2,'2.10 невыясн поступл'!$A$6:$E$24,5,0)</f>
        <v>5</v>
      </c>
      <c r="BC20" s="162">
        <f t="shared" si="52"/>
        <v>0.25</v>
      </c>
      <c r="BD20" s="163"/>
      <c r="BE20" s="161">
        <v>0.05</v>
      </c>
      <c r="BF20" s="161">
        <f t="shared" si="53"/>
        <v>0.05</v>
      </c>
      <c r="BG20" s="167">
        <f>VLOOKUP($BE2,'2.10 невыясн поступл'!$A$6:$E$24,5,0)</f>
        <v>5</v>
      </c>
      <c r="BH20" s="162">
        <f t="shared" si="54"/>
        <v>0.25</v>
      </c>
      <c r="BI20" s="163"/>
      <c r="BJ20" s="161">
        <v>0.05</v>
      </c>
      <c r="BK20" s="161">
        <f t="shared" si="55"/>
        <v>0.05</v>
      </c>
      <c r="BL20" s="167">
        <f>VLOOKUP($BJ2,'2.10 невыясн поступл'!$A$6:$E$24,5,0)</f>
        <v>5</v>
      </c>
      <c r="BM20" s="162">
        <f t="shared" si="56"/>
        <v>0.25</v>
      </c>
      <c r="BN20" s="163"/>
      <c r="BO20" s="161">
        <v>0.05</v>
      </c>
      <c r="BP20" s="161">
        <f t="shared" si="57"/>
        <v>0.05</v>
      </c>
      <c r="BQ20" s="167">
        <f>VLOOKUP($BO2,'2.10 невыясн поступл'!$A$6:$E$24,5,0)</f>
        <v>0</v>
      </c>
      <c r="BR20" s="162">
        <f t="shared" si="58"/>
        <v>0</v>
      </c>
      <c r="BS20" s="163"/>
      <c r="BT20" s="161">
        <v>0.05</v>
      </c>
      <c r="BU20" s="161">
        <f t="shared" si="59"/>
        <v>5.5559999999999998E-2</v>
      </c>
      <c r="BV20" s="167">
        <f>VLOOKUP($BT2,'2.10 невыясн поступл'!$A$6:$E$24,5,0)</f>
        <v>5</v>
      </c>
      <c r="BW20" s="162">
        <f t="shared" si="60"/>
        <v>0.28000000000000003</v>
      </c>
      <c r="BX20" s="163"/>
      <c r="BY20" s="161">
        <v>0.05</v>
      </c>
      <c r="BZ20" s="161">
        <f t="shared" si="63"/>
        <v>7.6920000000000002E-2</v>
      </c>
      <c r="CA20" s="167">
        <f>VLOOKUP($BY2,'2.10 невыясн поступл'!$A$6:$E$24,5,0)</f>
        <v>0</v>
      </c>
      <c r="CB20" s="162">
        <f t="shared" si="61"/>
        <v>0</v>
      </c>
      <c r="CC20" s="163"/>
    </row>
    <row r="21" spans="1:81" s="39" customFormat="1" ht="45">
      <c r="A21" s="160" t="s">
        <v>118</v>
      </c>
      <c r="B21" s="161">
        <v>0.1</v>
      </c>
      <c r="C21" s="161">
        <f t="shared" si="62"/>
        <v>0.15384999999999999</v>
      </c>
      <c r="D21" s="162">
        <f>VLOOKUP($B2,'2.11 исп дох'!$A$6:$F$21,6,0)</f>
        <v>0</v>
      </c>
      <c r="E21" s="162">
        <f t="shared" si="33"/>
        <v>0</v>
      </c>
      <c r="F21" s="163"/>
      <c r="G21" s="161">
        <v>0.1</v>
      </c>
      <c r="H21" s="161">
        <f t="shared" si="34"/>
        <v>0.1</v>
      </c>
      <c r="I21" s="162">
        <f>VLOOKUP($G2,'2.11 исп дох'!$A$6:$F$21,6,0)</f>
        <v>5</v>
      </c>
      <c r="J21" s="162">
        <f t="shared" si="35"/>
        <v>0.5</v>
      </c>
      <c r="K21" s="163"/>
      <c r="L21" s="161">
        <v>0.1</v>
      </c>
      <c r="M21" s="161">
        <f t="shared" si="36"/>
        <v>0.1</v>
      </c>
      <c r="N21" s="162">
        <f>VLOOKUP($L2,'2.11 исп дох'!$A$6:$F$21,6,0)</f>
        <v>5</v>
      </c>
      <c r="O21" s="162">
        <f t="shared" si="37"/>
        <v>0.5</v>
      </c>
      <c r="P21" s="163"/>
      <c r="Q21" s="161">
        <v>0.1</v>
      </c>
      <c r="R21" s="161">
        <f t="shared" si="38"/>
        <v>0.11111</v>
      </c>
      <c r="S21" s="162">
        <f>VLOOKUP($Q2,'2.11 исп дох'!$A$6:$F$21,6,0)</f>
        <v>5</v>
      </c>
      <c r="T21" s="162">
        <f t="shared" si="39"/>
        <v>0.56000000000000005</v>
      </c>
      <c r="U21" s="163"/>
      <c r="V21" s="161">
        <v>0.1</v>
      </c>
      <c r="W21" s="161">
        <f t="shared" si="40"/>
        <v>0.11111</v>
      </c>
      <c r="X21" s="162">
        <f>VLOOKUP($V2,'2.11 исп дох'!$A$6:$F$21,6,0)</f>
        <v>5</v>
      </c>
      <c r="Y21" s="162">
        <f t="shared" si="41"/>
        <v>0.56000000000000005</v>
      </c>
      <c r="Z21" s="163"/>
      <c r="AA21" s="161">
        <v>0.1</v>
      </c>
      <c r="AB21" s="161">
        <f t="shared" si="42"/>
        <v>0.1</v>
      </c>
      <c r="AC21" s="162">
        <f>VLOOKUP($AA2,'2.11 исп дох'!$A$6:$F$21,6,0)</f>
        <v>0</v>
      </c>
      <c r="AD21" s="162">
        <f t="shared" si="43"/>
        <v>0</v>
      </c>
      <c r="AE21" s="163"/>
      <c r="AF21" s="161">
        <v>0.1</v>
      </c>
      <c r="AG21" s="161">
        <f t="shared" si="44"/>
        <v>0.1</v>
      </c>
      <c r="AH21" s="162">
        <f>VLOOKUP($AF2,'2.11 исп дох'!$A$6:$F$21,6,0)</f>
        <v>0</v>
      </c>
      <c r="AI21" s="162">
        <f t="shared" si="45"/>
        <v>0</v>
      </c>
      <c r="AJ21" s="163"/>
      <c r="AK21" s="161">
        <v>0.1</v>
      </c>
      <c r="AL21" s="161">
        <f t="shared" si="32"/>
        <v>0.11111</v>
      </c>
      <c r="AM21" s="162">
        <f>VLOOKUP($AK2,'2.11 исп дох'!$A$6:$F$21,6,0)</f>
        <v>5</v>
      </c>
      <c r="AN21" s="162">
        <f t="shared" si="46"/>
        <v>0.56000000000000005</v>
      </c>
      <c r="AO21" s="163"/>
      <c r="AP21" s="161">
        <v>0.1</v>
      </c>
      <c r="AQ21" s="161">
        <f t="shared" si="47"/>
        <v>0.11111</v>
      </c>
      <c r="AR21" s="162">
        <f>VLOOKUP($AP2,'2.11 исп дох'!$A$6:$F$21,6,0)</f>
        <v>0</v>
      </c>
      <c r="AS21" s="162">
        <f t="shared" si="48"/>
        <v>0</v>
      </c>
      <c r="AT21" s="163"/>
      <c r="AU21" s="161">
        <v>0.1</v>
      </c>
      <c r="AV21" s="161">
        <f t="shared" si="49"/>
        <v>0.1</v>
      </c>
      <c r="AW21" s="162">
        <f>VLOOKUP($AU2,'2.11 исп дох'!$A$6:$F$21,6,0)</f>
        <v>5</v>
      </c>
      <c r="AX21" s="162">
        <f t="shared" si="50"/>
        <v>0.5</v>
      </c>
      <c r="AY21" s="163"/>
      <c r="AZ21" s="161">
        <v>0.1</v>
      </c>
      <c r="BA21" s="161">
        <f t="shared" si="51"/>
        <v>0.1</v>
      </c>
      <c r="BB21" s="162">
        <f>VLOOKUP($AZ2,'2.11 исп дох'!$A$6:$F$21,6,0)</f>
        <v>5</v>
      </c>
      <c r="BC21" s="162">
        <f t="shared" si="52"/>
        <v>0.5</v>
      </c>
      <c r="BD21" s="163"/>
      <c r="BE21" s="161">
        <v>0.1</v>
      </c>
      <c r="BF21" s="161">
        <f t="shared" si="53"/>
        <v>0.1</v>
      </c>
      <c r="BG21" s="162">
        <f>VLOOKUP($BE2,'2.11 исп дох'!$A$6:$F$21,6,0)</f>
        <v>5</v>
      </c>
      <c r="BH21" s="162">
        <f t="shared" si="54"/>
        <v>0.5</v>
      </c>
      <c r="BI21" s="163"/>
      <c r="BJ21" s="161">
        <v>0.1</v>
      </c>
      <c r="BK21" s="161">
        <f t="shared" si="55"/>
        <v>0.1</v>
      </c>
      <c r="BL21" s="162">
        <f>VLOOKUP($BJ2,'2.11 исп дох'!$A$6:$F$21,6,0)</f>
        <v>5</v>
      </c>
      <c r="BM21" s="162">
        <f t="shared" si="56"/>
        <v>0.5</v>
      </c>
      <c r="BN21" s="163"/>
      <c r="BO21" s="161">
        <v>0.1</v>
      </c>
      <c r="BP21" s="161">
        <f t="shared" si="57"/>
        <v>0.1</v>
      </c>
      <c r="BQ21" s="162">
        <f>VLOOKUP($BO2,'2.11 исп дох'!$A$6:$F$21,6,0)</f>
        <v>5</v>
      </c>
      <c r="BR21" s="162">
        <f t="shared" si="58"/>
        <v>0.5</v>
      </c>
      <c r="BS21" s="163"/>
      <c r="BT21" s="161">
        <v>0.1</v>
      </c>
      <c r="BU21" s="161">
        <f t="shared" si="59"/>
        <v>0.11111</v>
      </c>
      <c r="BV21" s="162">
        <f>VLOOKUP($BT2,'2.11 исп дох'!$A$6:$F$21,6,0)</f>
        <v>0</v>
      </c>
      <c r="BW21" s="162">
        <f t="shared" si="60"/>
        <v>0</v>
      </c>
      <c r="BX21" s="163"/>
      <c r="BY21" s="161">
        <v>0.1</v>
      </c>
      <c r="BZ21" s="161">
        <f t="shared" si="63"/>
        <v>0.15384999999999999</v>
      </c>
      <c r="CA21" s="162">
        <f>VLOOKUP($BY2,'2.11 исп дох'!$A$6:$F$21,6,0)</f>
        <v>0</v>
      </c>
      <c r="CB21" s="162">
        <f t="shared" si="61"/>
        <v>0</v>
      </c>
      <c r="CC21" s="163"/>
    </row>
    <row r="22" spans="1:81" s="168" customFormat="1" ht="14.45" customHeight="1">
      <c r="A22" s="150" t="s">
        <v>119</v>
      </c>
      <c r="B22" s="151">
        <v>0.1</v>
      </c>
      <c r="C22" s="151">
        <f>ROUND(B22*100%/70%,5)</f>
        <v>0.14285999999999999</v>
      </c>
      <c r="D22" s="152"/>
      <c r="E22" s="152">
        <f>SUM(E23:E27)</f>
        <v>5</v>
      </c>
      <c r="F22" s="153">
        <f>ROUND(E22*C22,2)</f>
        <v>0.71</v>
      </c>
      <c r="G22" s="151">
        <v>0.1</v>
      </c>
      <c r="H22" s="151">
        <v>0.1</v>
      </c>
      <c r="I22" s="152"/>
      <c r="J22" s="152">
        <f>SUM(J23:J27)</f>
        <v>4.55</v>
      </c>
      <c r="K22" s="153">
        <f>ROUND(J22*H22,2)</f>
        <v>0.46</v>
      </c>
      <c r="L22" s="151">
        <v>0.1</v>
      </c>
      <c r="M22" s="151">
        <f>ROUND(L22*100%/70%,5)</f>
        <v>0.14285999999999999</v>
      </c>
      <c r="N22" s="152"/>
      <c r="O22" s="152">
        <f>SUM(O23:O27)</f>
        <v>3.18</v>
      </c>
      <c r="P22" s="153">
        <f>ROUND(O22*M22,2)</f>
        <v>0.45</v>
      </c>
      <c r="Q22" s="151">
        <v>0.1</v>
      </c>
      <c r="R22" s="151">
        <f>ROUND(Q22*100%/70%,5)</f>
        <v>0.14285999999999999</v>
      </c>
      <c r="S22" s="152"/>
      <c r="T22" s="152">
        <f>SUM(T23:T27)</f>
        <v>5</v>
      </c>
      <c r="U22" s="153">
        <f>ROUND(T22*R22,2)</f>
        <v>0.71</v>
      </c>
      <c r="V22" s="151">
        <v>0.1</v>
      </c>
      <c r="W22" s="151">
        <f>ROUND(V22*100%/70%,5)</f>
        <v>0.14285999999999999</v>
      </c>
      <c r="X22" s="152"/>
      <c r="Y22" s="152">
        <f>SUM(Y23:Y27)</f>
        <v>3.64</v>
      </c>
      <c r="Z22" s="153">
        <f>ROUND(Y22*W22,2)</f>
        <v>0.52</v>
      </c>
      <c r="AA22" s="151">
        <v>0.1</v>
      </c>
      <c r="AB22" s="151">
        <f>ROUND(AA22*100%/80%,5)</f>
        <v>0.125</v>
      </c>
      <c r="AC22" s="152"/>
      <c r="AD22" s="152">
        <f>SUM(AD23:AD27)</f>
        <v>4.25</v>
      </c>
      <c r="AE22" s="153">
        <f>ROUND(AD22*AB22,2)</f>
        <v>0.53</v>
      </c>
      <c r="AF22" s="151">
        <v>0.1</v>
      </c>
      <c r="AG22" s="151">
        <f>ROUND(AF22*100%/80%,5)</f>
        <v>0.125</v>
      </c>
      <c r="AH22" s="152"/>
      <c r="AI22" s="152">
        <f>SUM(AI23:AI27)</f>
        <v>3</v>
      </c>
      <c r="AJ22" s="153">
        <f>ROUND(AI22*AG22,2)</f>
        <v>0.38</v>
      </c>
      <c r="AK22" s="151">
        <v>0.1</v>
      </c>
      <c r="AL22" s="151">
        <f t="shared" si="32"/>
        <v>0.11111</v>
      </c>
      <c r="AM22" s="152"/>
      <c r="AN22" s="152">
        <f>SUM(AN23:AN27)</f>
        <v>4.55</v>
      </c>
      <c r="AO22" s="153">
        <f>ROUND(AN22*AL22,2)</f>
        <v>0.51</v>
      </c>
      <c r="AP22" s="151">
        <v>0.1</v>
      </c>
      <c r="AQ22" s="151">
        <f>ROUND(AP22*100%/80%,5)</f>
        <v>0.125</v>
      </c>
      <c r="AR22" s="152"/>
      <c r="AS22" s="152">
        <f>SUM(AS23:AS27)</f>
        <v>4</v>
      </c>
      <c r="AT22" s="153">
        <f>ROUND(AS22*AQ22,2)</f>
        <v>0.5</v>
      </c>
      <c r="AU22" s="151">
        <v>0.1</v>
      </c>
      <c r="AV22" s="151">
        <f>ROUND(AU22*100%/70%,5)</f>
        <v>0.14285999999999999</v>
      </c>
      <c r="AW22" s="152"/>
      <c r="AX22" s="152">
        <f>SUM(AX23:AX27)</f>
        <v>4.09</v>
      </c>
      <c r="AY22" s="153">
        <f>ROUND(AX22*AV22,2)</f>
        <v>0.57999999999999996</v>
      </c>
      <c r="AZ22" s="151">
        <v>0.1</v>
      </c>
      <c r="BA22" s="151">
        <f>ROUND(AZ22*100%/70%,5)</f>
        <v>0.14285999999999999</v>
      </c>
      <c r="BB22" s="152"/>
      <c r="BC22" s="152">
        <f>SUM(BC23:BC27)</f>
        <v>4.55</v>
      </c>
      <c r="BD22" s="153">
        <f>ROUND(BC22*BA22,2)</f>
        <v>0.65</v>
      </c>
      <c r="BE22" s="151">
        <v>0.1</v>
      </c>
      <c r="BF22" s="151">
        <f>ROUND(BE22*100%/70%,5)</f>
        <v>0.14285999999999999</v>
      </c>
      <c r="BG22" s="152"/>
      <c r="BH22" s="152">
        <f>SUM(BH23:BH27)</f>
        <v>4.09</v>
      </c>
      <c r="BI22" s="153">
        <f>ROUND(BH22*BF22,2)</f>
        <v>0.57999999999999996</v>
      </c>
      <c r="BJ22" s="151">
        <v>0.1</v>
      </c>
      <c r="BK22" s="151">
        <v>0.1</v>
      </c>
      <c r="BL22" s="152"/>
      <c r="BM22" s="152">
        <f>SUM(BM23:BM27)</f>
        <v>3</v>
      </c>
      <c r="BN22" s="153">
        <f>ROUND(BM22*BK22,2)</f>
        <v>0.3</v>
      </c>
      <c r="BO22" s="151">
        <v>0.1</v>
      </c>
      <c r="BP22" s="151">
        <f>ROUND(BO22*100%/90%,5)</f>
        <v>0.11111</v>
      </c>
      <c r="BQ22" s="152"/>
      <c r="BR22" s="152">
        <f>SUM(BR23:BR27)</f>
        <v>3.18</v>
      </c>
      <c r="BS22" s="153">
        <f>ROUND(BR22*BP22,2)</f>
        <v>0.35</v>
      </c>
      <c r="BT22" s="151">
        <v>0.1</v>
      </c>
      <c r="BU22" s="151">
        <f>BT22</f>
        <v>0.1</v>
      </c>
      <c r="BV22" s="152"/>
      <c r="BW22" s="152">
        <f>SUM(BW23:BW27)</f>
        <v>4.09</v>
      </c>
      <c r="BX22" s="153">
        <f>ROUND(BW22*BU22,2)</f>
        <v>0.41</v>
      </c>
      <c r="BY22" s="151">
        <v>0.1</v>
      </c>
      <c r="BZ22" s="151">
        <f>ROUND(BY22*100%/70%,5)</f>
        <v>0.14285999999999999</v>
      </c>
      <c r="CA22" s="152"/>
      <c r="CB22" s="152">
        <f>SUM(CB23:CB27)</f>
        <v>5</v>
      </c>
      <c r="CC22" s="153">
        <f>ROUND(CB22*BZ22,2)</f>
        <v>0.71</v>
      </c>
    </row>
    <row r="23" spans="1:81" s="164" customFormat="1" ht="30">
      <c r="A23" s="155" t="s">
        <v>120</v>
      </c>
      <c r="B23" s="156">
        <v>0.1</v>
      </c>
      <c r="C23" s="156">
        <f t="shared" ref="C23:C26" si="64">ROUND(B23*100%/55%,5)</f>
        <v>0.18182000000000001</v>
      </c>
      <c r="D23" s="157">
        <f>VLOOKUP($B2,'3.1. свед. о инветариз'!$A$6:$E$21,5,0)</f>
        <v>5</v>
      </c>
      <c r="E23" s="157">
        <f t="shared" ref="E23:E27" si="65">ROUND(D23*C23,2)</f>
        <v>0.91</v>
      </c>
      <c r="F23" s="158"/>
      <c r="G23" s="156">
        <v>0.1</v>
      </c>
      <c r="H23" s="156">
        <f t="shared" ref="H23:H26" si="66">ROUND(G23*100%/55%,5)</f>
        <v>0.18182000000000001</v>
      </c>
      <c r="I23" s="157">
        <f>VLOOKUP($G2,'3.1. свед. о инветариз'!$A$6:$E$21,5,0)</f>
        <v>5</v>
      </c>
      <c r="J23" s="157">
        <f t="shared" ref="J23:J27" si="67">ROUND(I23*H23,2)</f>
        <v>0.91</v>
      </c>
      <c r="K23" s="158"/>
      <c r="L23" s="156">
        <v>0.1</v>
      </c>
      <c r="M23" s="156">
        <f t="shared" ref="M23:M26" si="68">ROUND(L23*100%/55%,5)</f>
        <v>0.18182000000000001</v>
      </c>
      <c r="N23" s="157">
        <f>VLOOKUP($L2,'3.1. свед. о инветариз'!$A$6:$E$21,5,0)</f>
        <v>5</v>
      </c>
      <c r="O23" s="157">
        <f t="shared" ref="O23:O27" si="69">ROUND(N23*M23,2)</f>
        <v>0.91</v>
      </c>
      <c r="P23" s="158"/>
      <c r="Q23" s="156">
        <v>0.1</v>
      </c>
      <c r="R23" s="156">
        <f t="shared" ref="R23:R26" si="70">ROUND(Q23*100%/55%,5)</f>
        <v>0.18182000000000001</v>
      </c>
      <c r="S23" s="157">
        <f>VLOOKUP($Q2,'3.1. свед. о инветариз'!$A$6:$E$21,5,0)</f>
        <v>5</v>
      </c>
      <c r="T23" s="157">
        <f t="shared" ref="T23:T27" si="71">ROUND(S23*R23,2)</f>
        <v>0.91</v>
      </c>
      <c r="U23" s="158"/>
      <c r="V23" s="156">
        <v>0.1</v>
      </c>
      <c r="W23" s="156">
        <f t="shared" ref="W23:W26" si="72">ROUND(V23*100%/55%,5)</f>
        <v>0.18182000000000001</v>
      </c>
      <c r="X23" s="157">
        <f>VLOOKUP($V2,'3.1. свед. о инветариз'!$A$6:$E$21,5,0)</f>
        <v>5</v>
      </c>
      <c r="Y23" s="157">
        <f t="shared" ref="Y23:Y27" si="73">ROUND(X23*W23,2)</f>
        <v>0.91</v>
      </c>
      <c r="Z23" s="158"/>
      <c r="AA23" s="156">
        <v>0.1</v>
      </c>
      <c r="AB23" s="156">
        <v>0.1</v>
      </c>
      <c r="AC23" s="157">
        <f>VLOOKUP($AA2,'3.1. свед. о инветариз'!$A$6:$E$21,5,0)</f>
        <v>5</v>
      </c>
      <c r="AD23" s="157">
        <f t="shared" ref="AD23:AD27" si="74">ROUND(AC23*AB23,2)</f>
        <v>0.5</v>
      </c>
      <c r="AE23" s="158"/>
      <c r="AF23" s="156">
        <v>0.1</v>
      </c>
      <c r="AG23" s="156">
        <v>0.1</v>
      </c>
      <c r="AH23" s="157">
        <f>VLOOKUP($AF2,'3.1. свед. о инветариз'!$A$6:$E$21,5,0)</f>
        <v>5</v>
      </c>
      <c r="AI23" s="157">
        <f t="shared" ref="AI23:AI27" si="75">ROUND(AH23*AG23,2)</f>
        <v>0.5</v>
      </c>
      <c r="AJ23" s="158"/>
      <c r="AK23" s="156">
        <v>0.1</v>
      </c>
      <c r="AL23" s="156">
        <f t="shared" ref="AL23:AL26" si="76">ROUND(AK23*100%/55%,5)</f>
        <v>0.18182000000000001</v>
      </c>
      <c r="AM23" s="157">
        <f>VLOOKUP($AK2,'3.1. свед. о инветариз'!$A$6:$E$21,5,0)</f>
        <v>5</v>
      </c>
      <c r="AN23" s="157">
        <f t="shared" ref="AN23:AN27" si="77">ROUND(AM23*AL23,2)</f>
        <v>0.91</v>
      </c>
      <c r="AO23" s="158"/>
      <c r="AP23" s="156">
        <v>0.1</v>
      </c>
      <c r="AQ23" s="156">
        <v>0.1</v>
      </c>
      <c r="AR23" s="157">
        <f>VLOOKUP($AP2,'3.1. свед. о инветариз'!$A$6:$E$21,5,0)</f>
        <v>5</v>
      </c>
      <c r="AS23" s="157">
        <f t="shared" ref="AS23:AS27" si="78">ROUND(AR23*AQ23,2)</f>
        <v>0.5</v>
      </c>
      <c r="AT23" s="158"/>
      <c r="AU23" s="156">
        <v>0.1</v>
      </c>
      <c r="AV23" s="156">
        <f t="shared" ref="AV23:AV26" si="79">ROUND(AU23*100%/55%,5)</f>
        <v>0.18182000000000001</v>
      </c>
      <c r="AW23" s="157">
        <f>VLOOKUP($AU2,'3.1. свед. о инветариз'!$A$6:$E$21,5,0)</f>
        <v>5</v>
      </c>
      <c r="AX23" s="157">
        <f t="shared" ref="AX23:AX27" si="80">ROUND(AW23*AV23,2)</f>
        <v>0.91</v>
      </c>
      <c r="AY23" s="158"/>
      <c r="AZ23" s="156">
        <v>0.1</v>
      </c>
      <c r="BA23" s="156">
        <f t="shared" ref="BA23:BA26" si="81">ROUND(AZ23*100%/55%,5)</f>
        <v>0.18182000000000001</v>
      </c>
      <c r="BB23" s="157">
        <f>VLOOKUP($AZ2,'3.1. свед. о инветариз'!$A$6:$E$21,5,0)</f>
        <v>5</v>
      </c>
      <c r="BC23" s="157">
        <f t="shared" ref="BC23:BC27" si="82">ROUND(BB23*BA23,2)</f>
        <v>0.91</v>
      </c>
      <c r="BD23" s="158"/>
      <c r="BE23" s="156">
        <v>0.1</v>
      </c>
      <c r="BF23" s="156">
        <f t="shared" ref="BF23:BF26" si="83">ROUND(BE23*100%/55%,5)</f>
        <v>0.18182000000000001</v>
      </c>
      <c r="BG23" s="157">
        <f>VLOOKUP($BE2,'3.1. свед. о инветариз'!$A$6:$E$21,5,0)</f>
        <v>5</v>
      </c>
      <c r="BH23" s="157">
        <f t="shared" ref="BH23:BH27" si="84">ROUND(BG23*BF23,2)</f>
        <v>0.91</v>
      </c>
      <c r="BI23" s="158"/>
      <c r="BJ23" s="156">
        <v>0.1</v>
      </c>
      <c r="BK23" s="156">
        <v>0.1</v>
      </c>
      <c r="BL23" s="157">
        <f>VLOOKUP($BJ2,'3.1. свед. о инветариз'!$A$6:$E$21,5,0)</f>
        <v>5</v>
      </c>
      <c r="BM23" s="157">
        <f t="shared" ref="BM23:BM27" si="85">ROUND(BL23*BK23,2)</f>
        <v>0.5</v>
      </c>
      <c r="BN23" s="158"/>
      <c r="BO23" s="156">
        <v>0.1</v>
      </c>
      <c r="BP23" s="156">
        <f t="shared" ref="BP23:BP26" si="86">ROUND(BO23*100%/55%,5)</f>
        <v>0.18182000000000001</v>
      </c>
      <c r="BQ23" s="157">
        <f>VLOOKUP($BO2,'3.1. свед. о инветариз'!$A$6:$E$21,5,0)</f>
        <v>5</v>
      </c>
      <c r="BR23" s="157">
        <f t="shared" ref="BR23:BR27" si="87">ROUND(BQ23*BP23,2)</f>
        <v>0.91</v>
      </c>
      <c r="BS23" s="158"/>
      <c r="BT23" s="156">
        <v>0.1</v>
      </c>
      <c r="BU23" s="156">
        <f t="shared" ref="BU23:BU26" si="88">ROUND(BT23*100%/55%,5)</f>
        <v>0.18182000000000001</v>
      </c>
      <c r="BV23" s="157">
        <f>VLOOKUP($BT2,'3.1. свед. о инветариз'!$A$6:$E$21,5,0)</f>
        <v>5</v>
      </c>
      <c r="BW23" s="157">
        <f t="shared" ref="BW23:BW27" si="89">ROUND(BV23*BU23,2)</f>
        <v>0.91</v>
      </c>
      <c r="BX23" s="158"/>
      <c r="BY23" s="156">
        <v>0.1</v>
      </c>
      <c r="BZ23" s="156">
        <f t="shared" ref="BZ23:BZ26" si="90">ROUND(BY23*100%/55%,5)</f>
        <v>0.18182000000000001</v>
      </c>
      <c r="CA23" s="157">
        <f>VLOOKUP($BY2,'3.1. свед. о инветариз'!$A$6:$E$21,5,0)</f>
        <v>5</v>
      </c>
      <c r="CB23" s="157">
        <f t="shared" ref="CB23:CB27" si="91">ROUND(CA23*BZ23,2)</f>
        <v>0.91</v>
      </c>
      <c r="CC23" s="158"/>
    </row>
    <row r="24" spans="1:81" s="165" customFormat="1" ht="45">
      <c r="A24" s="155" t="s">
        <v>121</v>
      </c>
      <c r="B24" s="156">
        <v>0.2</v>
      </c>
      <c r="C24" s="156">
        <f t="shared" si="64"/>
        <v>0.36364000000000002</v>
      </c>
      <c r="D24" s="157">
        <f>VLOOKUP($B2,'3.2 своеврем пред'!$A$6:$E$21,5,0)</f>
        <v>5</v>
      </c>
      <c r="E24" s="157">
        <f t="shared" si="65"/>
        <v>1.82</v>
      </c>
      <c r="F24" s="158"/>
      <c r="G24" s="156">
        <v>0.2</v>
      </c>
      <c r="H24" s="156">
        <f t="shared" si="66"/>
        <v>0.36364000000000002</v>
      </c>
      <c r="I24" s="157">
        <f>VLOOKUP($G2,'3.2 своеврем пред'!$A$6:$E$21,5,0)</f>
        <v>5</v>
      </c>
      <c r="J24" s="157">
        <f t="shared" si="67"/>
        <v>1.82</v>
      </c>
      <c r="K24" s="158"/>
      <c r="L24" s="156">
        <v>0.2</v>
      </c>
      <c r="M24" s="156">
        <f t="shared" si="68"/>
        <v>0.36364000000000002</v>
      </c>
      <c r="N24" s="157">
        <f>VLOOKUP($L2,'3.2 своеврем пред'!$A$6:$E$21,5,0)</f>
        <v>5</v>
      </c>
      <c r="O24" s="157">
        <f t="shared" si="69"/>
        <v>1.82</v>
      </c>
      <c r="P24" s="158"/>
      <c r="Q24" s="156">
        <v>0.2</v>
      </c>
      <c r="R24" s="156">
        <f t="shared" si="70"/>
        <v>0.36364000000000002</v>
      </c>
      <c r="S24" s="157">
        <f>VLOOKUP($Q2,'3.2 своеврем пред'!$A$6:$E$21,5,0)</f>
        <v>5</v>
      </c>
      <c r="T24" s="157">
        <f t="shared" si="71"/>
        <v>1.82</v>
      </c>
      <c r="U24" s="158"/>
      <c r="V24" s="156">
        <v>0.2</v>
      </c>
      <c r="W24" s="156">
        <f t="shared" si="72"/>
        <v>0.36364000000000002</v>
      </c>
      <c r="X24" s="157">
        <f>VLOOKUP($V2,'3.2 своеврем пред'!$A$6:$E$21,5,0)</f>
        <v>5</v>
      </c>
      <c r="Y24" s="157">
        <f t="shared" si="73"/>
        <v>1.82</v>
      </c>
      <c r="Z24" s="158"/>
      <c r="AA24" s="156">
        <v>0.2</v>
      </c>
      <c r="AB24" s="156">
        <v>0.2</v>
      </c>
      <c r="AC24" s="157">
        <f>VLOOKUP($AA2,'3.2 своеврем пред'!$A$6:$E$21,5,0)</f>
        <v>5</v>
      </c>
      <c r="AD24" s="157">
        <f t="shared" si="74"/>
        <v>1</v>
      </c>
      <c r="AE24" s="158"/>
      <c r="AF24" s="156">
        <v>0.2</v>
      </c>
      <c r="AG24" s="156">
        <v>0.2</v>
      </c>
      <c r="AH24" s="157">
        <f>VLOOKUP($AF2,'3.2 своеврем пред'!$A$6:$E$21,5,0)</f>
        <v>5</v>
      </c>
      <c r="AI24" s="157">
        <f t="shared" si="75"/>
        <v>1</v>
      </c>
      <c r="AJ24" s="158"/>
      <c r="AK24" s="156">
        <v>0.2</v>
      </c>
      <c r="AL24" s="156">
        <f t="shared" si="76"/>
        <v>0.36364000000000002</v>
      </c>
      <c r="AM24" s="157">
        <f>VLOOKUP($AK2,'3.2 своеврем пред'!$A$6:$E$21,5,0)</f>
        <v>5</v>
      </c>
      <c r="AN24" s="157">
        <f t="shared" si="77"/>
        <v>1.82</v>
      </c>
      <c r="AO24" s="158"/>
      <c r="AP24" s="156">
        <v>0.2</v>
      </c>
      <c r="AQ24" s="156">
        <v>0.2</v>
      </c>
      <c r="AR24" s="157">
        <f>VLOOKUP($AP2,'3.2 своеврем пред'!$A$6:$E$21,5,0)</f>
        <v>5</v>
      </c>
      <c r="AS24" s="157">
        <f t="shared" si="78"/>
        <v>1</v>
      </c>
      <c r="AT24" s="158"/>
      <c r="AU24" s="156">
        <v>0.2</v>
      </c>
      <c r="AV24" s="156">
        <f t="shared" si="79"/>
        <v>0.36364000000000002</v>
      </c>
      <c r="AW24" s="157">
        <f>VLOOKUP($AU2,'3.2 своеврем пред'!$A$6:$E$21,5,0)</f>
        <v>5</v>
      </c>
      <c r="AX24" s="157">
        <f t="shared" si="80"/>
        <v>1.82</v>
      </c>
      <c r="AY24" s="158"/>
      <c r="AZ24" s="156">
        <v>0.2</v>
      </c>
      <c r="BA24" s="156">
        <f t="shared" si="81"/>
        <v>0.36364000000000002</v>
      </c>
      <c r="BB24" s="157">
        <f>VLOOKUP($AZ2,'3.2 своеврем пред'!$A$6:$E$21,5,0)</f>
        <v>5</v>
      </c>
      <c r="BC24" s="157">
        <f t="shared" si="82"/>
        <v>1.82</v>
      </c>
      <c r="BD24" s="158"/>
      <c r="BE24" s="156">
        <v>0.2</v>
      </c>
      <c r="BF24" s="156">
        <f t="shared" si="83"/>
        <v>0.36364000000000002</v>
      </c>
      <c r="BG24" s="157">
        <f>VLOOKUP($BE2,'3.2 своеврем пред'!$A$6:$E$21,5,0)</f>
        <v>5</v>
      </c>
      <c r="BH24" s="157">
        <f t="shared" si="84"/>
        <v>1.82</v>
      </c>
      <c r="BI24" s="158"/>
      <c r="BJ24" s="156">
        <v>0.2</v>
      </c>
      <c r="BK24" s="156">
        <v>0.2</v>
      </c>
      <c r="BL24" s="157">
        <f>VLOOKUP($BJ2,'3.2 своеврем пред'!$A$6:$E$21,5,0)</f>
        <v>5</v>
      </c>
      <c r="BM24" s="157">
        <f t="shared" si="85"/>
        <v>1</v>
      </c>
      <c r="BN24" s="158"/>
      <c r="BO24" s="156">
        <v>0.2</v>
      </c>
      <c r="BP24" s="156">
        <f t="shared" si="86"/>
        <v>0.36364000000000002</v>
      </c>
      <c r="BQ24" s="157">
        <f>VLOOKUP($BO2,'3.2 своеврем пред'!$A$6:$E$21,5,0)</f>
        <v>5</v>
      </c>
      <c r="BR24" s="157">
        <f t="shared" si="87"/>
        <v>1.82</v>
      </c>
      <c r="BS24" s="158"/>
      <c r="BT24" s="156">
        <v>0.2</v>
      </c>
      <c r="BU24" s="156">
        <f t="shared" si="88"/>
        <v>0.36364000000000002</v>
      </c>
      <c r="BV24" s="157">
        <f>VLOOKUP($BT2,'3.2 своеврем пред'!$A$6:$E$21,5,0)</f>
        <v>5</v>
      </c>
      <c r="BW24" s="157">
        <f t="shared" si="89"/>
        <v>1.82</v>
      </c>
      <c r="BX24" s="158"/>
      <c r="BY24" s="156">
        <v>0.2</v>
      </c>
      <c r="BZ24" s="156">
        <f t="shared" si="90"/>
        <v>0.36364000000000002</v>
      </c>
      <c r="CA24" s="157">
        <f>VLOOKUP($BY2,'3.2 своеврем пред'!$A$6:$E$21,5,0)</f>
        <v>5</v>
      </c>
      <c r="CB24" s="157">
        <f t="shared" si="91"/>
        <v>1.82</v>
      </c>
      <c r="CC24" s="158"/>
    </row>
    <row r="25" spans="1:81" s="165" customFormat="1" ht="60">
      <c r="A25" s="155" t="s">
        <v>122</v>
      </c>
      <c r="B25" s="156">
        <v>0.2</v>
      </c>
      <c r="C25" s="156">
        <v>0</v>
      </c>
      <c r="D25" s="157">
        <f>VLOOKUP($B$2,'3.3 своеврем БУ АУ'!$A$6:$E$21,5,0)</f>
        <v>5</v>
      </c>
      <c r="E25" s="157">
        <f t="shared" si="65"/>
        <v>0</v>
      </c>
      <c r="F25" s="158"/>
      <c r="G25" s="156">
        <v>0.2</v>
      </c>
      <c r="H25" s="156">
        <v>0</v>
      </c>
      <c r="I25" s="157">
        <f>VLOOKUP($G$2,'3.3 своеврем БУ АУ'!$A$6:$E$21,5,0)</f>
        <v>5</v>
      </c>
      <c r="J25" s="157">
        <f t="shared" si="67"/>
        <v>0</v>
      </c>
      <c r="K25" s="158"/>
      <c r="L25" s="156">
        <v>0.2</v>
      </c>
      <c r="M25" s="156">
        <v>0</v>
      </c>
      <c r="N25" s="157">
        <f>VLOOKUP($L$2,'3.3 своеврем БУ АУ'!$A$6:$E$21,5,0)</f>
        <v>5</v>
      </c>
      <c r="O25" s="157">
        <f t="shared" si="69"/>
        <v>0</v>
      </c>
      <c r="P25" s="158"/>
      <c r="Q25" s="156">
        <v>0.2</v>
      </c>
      <c r="R25" s="156">
        <v>0</v>
      </c>
      <c r="S25" s="157">
        <f>VLOOKUP($Q$2,'3.3 своеврем БУ АУ'!$A$6:$E$21,5,0)</f>
        <v>5</v>
      </c>
      <c r="T25" s="157">
        <f t="shared" si="71"/>
        <v>0</v>
      </c>
      <c r="U25" s="158"/>
      <c r="V25" s="156">
        <v>0.2</v>
      </c>
      <c r="W25" s="156">
        <v>0</v>
      </c>
      <c r="X25" s="157">
        <f>VLOOKUP($V$2,'3.3 своеврем БУ АУ'!$A$6:$E$21,5,0)</f>
        <v>5</v>
      </c>
      <c r="Y25" s="157">
        <f t="shared" si="73"/>
        <v>0</v>
      </c>
      <c r="Z25" s="158"/>
      <c r="AA25" s="156">
        <v>0.2</v>
      </c>
      <c r="AB25" s="156">
        <v>0.2</v>
      </c>
      <c r="AC25" s="157">
        <f>VLOOKUP($AA$2,'3.3 своеврем БУ АУ'!$A$6:$E$21,5,0)</f>
        <v>5</v>
      </c>
      <c r="AD25" s="157">
        <f t="shared" si="74"/>
        <v>1</v>
      </c>
      <c r="AE25" s="158"/>
      <c r="AF25" s="156">
        <v>0.2</v>
      </c>
      <c r="AG25" s="156">
        <v>0.2</v>
      </c>
      <c r="AH25" s="157">
        <f>VLOOKUP($AF$2,'3.3 своеврем БУ АУ'!$A$6:$E$21,5,0)</f>
        <v>5</v>
      </c>
      <c r="AI25" s="157">
        <f t="shared" si="75"/>
        <v>1</v>
      </c>
      <c r="AJ25" s="158"/>
      <c r="AK25" s="156">
        <v>0.2</v>
      </c>
      <c r="AL25" s="156">
        <v>0</v>
      </c>
      <c r="AM25" s="157">
        <f>VLOOKUP($AK$2,'3.3 своеврем БУ АУ'!$A$6:$E$21,5,0)</f>
        <v>5</v>
      </c>
      <c r="AN25" s="157">
        <f t="shared" si="77"/>
        <v>0</v>
      </c>
      <c r="AO25" s="158"/>
      <c r="AP25" s="156">
        <v>0.2</v>
      </c>
      <c r="AQ25" s="156">
        <v>0.2</v>
      </c>
      <c r="AR25" s="157">
        <f>VLOOKUP($AP$2,'3.3 своеврем БУ АУ'!$A$6:$E$21,5,0)</f>
        <v>5</v>
      </c>
      <c r="AS25" s="157">
        <f t="shared" si="78"/>
        <v>1</v>
      </c>
      <c r="AT25" s="158"/>
      <c r="AU25" s="156">
        <v>0.2</v>
      </c>
      <c r="AV25" s="156">
        <v>0</v>
      </c>
      <c r="AW25" s="157">
        <f>VLOOKUP($AU$2,'3.3 своеврем БУ АУ'!$A$6:$E$21,5,0)</f>
        <v>5</v>
      </c>
      <c r="AX25" s="157">
        <f t="shared" si="80"/>
        <v>0</v>
      </c>
      <c r="AY25" s="158"/>
      <c r="AZ25" s="156">
        <v>0.2</v>
      </c>
      <c r="BA25" s="156">
        <v>0</v>
      </c>
      <c r="BB25" s="157">
        <f>VLOOKUP($AZ$2,'3.3 своеврем БУ АУ'!$A$6:$E$21,5,0)</f>
        <v>5</v>
      </c>
      <c r="BC25" s="157">
        <f t="shared" si="82"/>
        <v>0</v>
      </c>
      <c r="BD25" s="158"/>
      <c r="BE25" s="156">
        <v>0.2</v>
      </c>
      <c r="BF25" s="156">
        <v>0</v>
      </c>
      <c r="BG25" s="157">
        <f>VLOOKUP($BE$2,'3.3 своеврем БУ АУ'!$A$6:$E$21,5,0)</f>
        <v>5</v>
      </c>
      <c r="BH25" s="157">
        <f t="shared" si="84"/>
        <v>0</v>
      </c>
      <c r="BI25" s="158"/>
      <c r="BJ25" s="156">
        <v>0.2</v>
      </c>
      <c r="BK25" s="156">
        <v>0.2</v>
      </c>
      <c r="BL25" s="157">
        <f>VLOOKUP($BJ$2,'3.3 своеврем БУ АУ'!$A$6:$E$21,5,0)</f>
        <v>5</v>
      </c>
      <c r="BM25" s="157">
        <f t="shared" si="85"/>
        <v>1</v>
      </c>
      <c r="BN25" s="158"/>
      <c r="BO25" s="156">
        <v>0.2</v>
      </c>
      <c r="BP25" s="156">
        <v>0</v>
      </c>
      <c r="BQ25" s="157">
        <f>VLOOKUP($BO$2,'3.3 своеврем БУ АУ'!$A$6:$E$21,5,0)</f>
        <v>5</v>
      </c>
      <c r="BR25" s="157">
        <f t="shared" si="87"/>
        <v>0</v>
      </c>
      <c r="BS25" s="158"/>
      <c r="BT25" s="156">
        <v>0.2</v>
      </c>
      <c r="BU25" s="156">
        <v>0</v>
      </c>
      <c r="BV25" s="157">
        <f>VLOOKUP($BT$2,'3.3 своеврем БУ АУ'!$A$6:$E$21,5,0)</f>
        <v>5</v>
      </c>
      <c r="BW25" s="157">
        <f t="shared" si="89"/>
        <v>0</v>
      </c>
      <c r="BX25" s="158"/>
      <c r="BY25" s="156">
        <v>0.2</v>
      </c>
      <c r="BZ25" s="156">
        <v>0</v>
      </c>
      <c r="CA25" s="157">
        <f>VLOOKUP($BY$2,'3.3 своеврем БУ АУ'!$A$6:$E$21,5,0)</f>
        <v>5</v>
      </c>
      <c r="CB25" s="157">
        <f t="shared" si="91"/>
        <v>0</v>
      </c>
      <c r="CC25" s="158"/>
    </row>
    <row r="26" spans="1:81" s="165" customFormat="1" ht="30">
      <c r="A26" s="155" t="s">
        <v>123</v>
      </c>
      <c r="B26" s="156">
        <v>0.25</v>
      </c>
      <c r="C26" s="156">
        <f t="shared" si="64"/>
        <v>0.45455000000000001</v>
      </c>
      <c r="D26" s="157">
        <f>VLOOKUP($B$2,'3.4 Кач-во отчетн'!$A$6:$E$21,5,0)</f>
        <v>5</v>
      </c>
      <c r="E26" s="157">
        <f t="shared" si="65"/>
        <v>2.27</v>
      </c>
      <c r="F26" s="158"/>
      <c r="G26" s="156">
        <v>0.25</v>
      </c>
      <c r="H26" s="156">
        <f t="shared" si="66"/>
        <v>0.45455000000000001</v>
      </c>
      <c r="I26" s="157">
        <f>VLOOKUP($G$2,'3.4 Кач-во отчетн'!$A$6:$E$21,5,0)</f>
        <v>4</v>
      </c>
      <c r="J26" s="157">
        <f t="shared" si="67"/>
        <v>1.82</v>
      </c>
      <c r="K26" s="158"/>
      <c r="L26" s="156">
        <v>0.25</v>
      </c>
      <c r="M26" s="156">
        <f t="shared" si="68"/>
        <v>0.45455000000000001</v>
      </c>
      <c r="N26" s="157">
        <f>VLOOKUP($L$2,'3.4 Кач-во отчетн'!$A$6:$E$21,5,0)</f>
        <v>1</v>
      </c>
      <c r="O26" s="157">
        <f t="shared" si="69"/>
        <v>0.45</v>
      </c>
      <c r="P26" s="158"/>
      <c r="Q26" s="156">
        <v>0.25</v>
      </c>
      <c r="R26" s="156">
        <f t="shared" si="70"/>
        <v>0.45455000000000001</v>
      </c>
      <c r="S26" s="157">
        <f>VLOOKUP($Q$2,'3.4 Кач-во отчетн'!$A$6:$E$21,5,0)</f>
        <v>5</v>
      </c>
      <c r="T26" s="157">
        <f t="shared" si="71"/>
        <v>2.27</v>
      </c>
      <c r="U26" s="158"/>
      <c r="V26" s="156">
        <v>0.25</v>
      </c>
      <c r="W26" s="156">
        <f t="shared" si="72"/>
        <v>0.45455000000000001</v>
      </c>
      <c r="X26" s="157">
        <f>VLOOKUP($V$2,'3.4 Кач-во отчетн'!$A$6:$E$21,5,0)</f>
        <v>2</v>
      </c>
      <c r="Y26" s="157">
        <f t="shared" si="73"/>
        <v>0.91</v>
      </c>
      <c r="Z26" s="158"/>
      <c r="AA26" s="156">
        <v>0.25</v>
      </c>
      <c r="AB26" s="156">
        <v>0.25</v>
      </c>
      <c r="AC26" s="157">
        <f>VLOOKUP($AA$2,'3.4 Кач-во отчетн'!$A$6:$E$21,5,0)</f>
        <v>3</v>
      </c>
      <c r="AD26" s="157">
        <f t="shared" si="74"/>
        <v>0.75</v>
      </c>
      <c r="AE26" s="158"/>
      <c r="AF26" s="156">
        <v>0.25</v>
      </c>
      <c r="AG26" s="156">
        <v>0.25</v>
      </c>
      <c r="AH26" s="157">
        <f>VLOOKUP($AF$2,'3.4 Кач-во отчетн'!$A$6:$E$21,5,0)</f>
        <v>2</v>
      </c>
      <c r="AI26" s="157">
        <f t="shared" si="75"/>
        <v>0.5</v>
      </c>
      <c r="AJ26" s="158"/>
      <c r="AK26" s="156">
        <v>0.25</v>
      </c>
      <c r="AL26" s="156">
        <f t="shared" si="76"/>
        <v>0.45455000000000001</v>
      </c>
      <c r="AM26" s="157">
        <f>VLOOKUP($AK$2,'3.4 Кач-во отчетн'!$A$6:$E$21,5,0)</f>
        <v>4</v>
      </c>
      <c r="AN26" s="157">
        <f t="shared" si="77"/>
        <v>1.82</v>
      </c>
      <c r="AO26" s="158"/>
      <c r="AP26" s="156">
        <v>0.25</v>
      </c>
      <c r="AQ26" s="156">
        <v>0.25</v>
      </c>
      <c r="AR26" s="157">
        <f>VLOOKUP($AP$2,'3.4 Кач-во отчетн'!$A$6:$E$21,5,0)</f>
        <v>3</v>
      </c>
      <c r="AS26" s="157">
        <f t="shared" si="78"/>
        <v>0.75</v>
      </c>
      <c r="AT26" s="158"/>
      <c r="AU26" s="156">
        <v>0.25</v>
      </c>
      <c r="AV26" s="156">
        <f t="shared" si="79"/>
        <v>0.45455000000000001</v>
      </c>
      <c r="AW26" s="157">
        <f>VLOOKUP($AU$2,'3.4 Кач-во отчетн'!$A$6:$E$21,5,0)</f>
        <v>3</v>
      </c>
      <c r="AX26" s="157">
        <f t="shared" si="80"/>
        <v>1.36</v>
      </c>
      <c r="AY26" s="158"/>
      <c r="AZ26" s="156">
        <v>0.25</v>
      </c>
      <c r="BA26" s="156">
        <f t="shared" si="81"/>
        <v>0.45455000000000001</v>
      </c>
      <c r="BB26" s="157">
        <f>VLOOKUP($AZ$2,'3.4 Кач-во отчетн'!$A$6:$E$21,5,0)</f>
        <v>4</v>
      </c>
      <c r="BC26" s="157">
        <f t="shared" si="82"/>
        <v>1.82</v>
      </c>
      <c r="BD26" s="158"/>
      <c r="BE26" s="156">
        <v>0.25</v>
      </c>
      <c r="BF26" s="156">
        <f t="shared" si="83"/>
        <v>0.45455000000000001</v>
      </c>
      <c r="BG26" s="157">
        <f>VLOOKUP($BE$2,'3.4 Кач-во отчетн'!$A$6:$E$21,5,0)</f>
        <v>3</v>
      </c>
      <c r="BH26" s="157">
        <f t="shared" si="84"/>
        <v>1.36</v>
      </c>
      <c r="BI26" s="158"/>
      <c r="BJ26" s="156">
        <v>0.25</v>
      </c>
      <c r="BK26" s="156">
        <v>0.25</v>
      </c>
      <c r="BL26" s="157">
        <f>VLOOKUP($BJ$2,'3.4 Кач-во отчетн'!$A$6:$E$21,5,0)</f>
        <v>2</v>
      </c>
      <c r="BM26" s="157">
        <f t="shared" si="85"/>
        <v>0.5</v>
      </c>
      <c r="BN26" s="158"/>
      <c r="BO26" s="156">
        <v>0.25</v>
      </c>
      <c r="BP26" s="156">
        <f t="shared" si="86"/>
        <v>0.45455000000000001</v>
      </c>
      <c r="BQ26" s="157">
        <f>VLOOKUP($BO$2,'3.4 Кач-во отчетн'!$A$6:$E$21,5,0)</f>
        <v>1</v>
      </c>
      <c r="BR26" s="157">
        <f t="shared" si="87"/>
        <v>0.45</v>
      </c>
      <c r="BS26" s="158"/>
      <c r="BT26" s="156">
        <v>0.25</v>
      </c>
      <c r="BU26" s="156">
        <f t="shared" si="88"/>
        <v>0.45455000000000001</v>
      </c>
      <c r="BV26" s="157">
        <f>VLOOKUP($BT$2,'3.4 Кач-во отчетн'!$A$6:$E$21,5,0)</f>
        <v>3</v>
      </c>
      <c r="BW26" s="157">
        <f t="shared" si="89"/>
        <v>1.36</v>
      </c>
      <c r="BX26" s="158"/>
      <c r="BY26" s="156">
        <v>0.25</v>
      </c>
      <c r="BZ26" s="156">
        <f t="shared" si="90"/>
        <v>0.45455000000000001</v>
      </c>
      <c r="CA26" s="157">
        <f>VLOOKUP($BY$2,'3.4 Кач-во отчетн'!$A$6:$E$21,5,0)</f>
        <v>5</v>
      </c>
      <c r="CB26" s="157">
        <f t="shared" si="91"/>
        <v>2.27</v>
      </c>
      <c r="CC26" s="158"/>
    </row>
    <row r="27" spans="1:81" s="165" customFormat="1" ht="45">
      <c r="A27" s="155" t="s">
        <v>124</v>
      </c>
      <c r="B27" s="156">
        <v>0.25</v>
      </c>
      <c r="C27" s="156">
        <v>0</v>
      </c>
      <c r="D27" s="157">
        <f>VLOOKUP($B$2,'3.5 Кач-во отчетн БУ АУ'!$A$6:$E$21,5,0)</f>
        <v>0</v>
      </c>
      <c r="E27" s="157">
        <f t="shared" si="65"/>
        <v>0</v>
      </c>
      <c r="F27" s="158"/>
      <c r="G27" s="156">
        <v>0.25</v>
      </c>
      <c r="H27" s="156">
        <v>0</v>
      </c>
      <c r="I27" s="157">
        <f>VLOOKUP($G$2,'3.5 Кач-во отчетн БУ АУ'!$A$6:$E$21,5,0)</f>
        <v>0</v>
      </c>
      <c r="J27" s="157">
        <f t="shared" si="67"/>
        <v>0</v>
      </c>
      <c r="K27" s="158"/>
      <c r="L27" s="156">
        <v>0.25</v>
      </c>
      <c r="M27" s="156">
        <v>0</v>
      </c>
      <c r="N27" s="157">
        <f>VLOOKUP($L$2,'3.5 Кач-во отчетн БУ АУ'!$A$6:$E$21,5,0)</f>
        <v>0</v>
      </c>
      <c r="O27" s="157">
        <f t="shared" si="69"/>
        <v>0</v>
      </c>
      <c r="P27" s="158"/>
      <c r="Q27" s="156">
        <v>0.25</v>
      </c>
      <c r="R27" s="156">
        <v>0</v>
      </c>
      <c r="S27" s="157">
        <f>VLOOKUP($Q$2,'3.5 Кач-во отчетн БУ АУ'!$A$6:$E$21,5,0)</f>
        <v>0</v>
      </c>
      <c r="T27" s="157">
        <f t="shared" si="71"/>
        <v>0</v>
      </c>
      <c r="U27" s="158"/>
      <c r="V27" s="156">
        <v>0.25</v>
      </c>
      <c r="W27" s="156">
        <v>0</v>
      </c>
      <c r="X27" s="157">
        <f>VLOOKUP($V$2,'3.5 Кач-во отчетн БУ АУ'!$A$6:$E$21,5,0)</f>
        <v>0</v>
      </c>
      <c r="Y27" s="157">
        <f t="shared" si="73"/>
        <v>0</v>
      </c>
      <c r="Z27" s="158"/>
      <c r="AA27" s="156">
        <v>0.25</v>
      </c>
      <c r="AB27" s="156">
        <v>0.25</v>
      </c>
      <c r="AC27" s="157">
        <f>VLOOKUP($AA$2,'3.5 Кач-во отчетн БУ АУ'!$A$6:$E$21,5,0)</f>
        <v>4</v>
      </c>
      <c r="AD27" s="157">
        <f t="shared" si="74"/>
        <v>1</v>
      </c>
      <c r="AE27" s="158"/>
      <c r="AF27" s="156">
        <v>0.25</v>
      </c>
      <c r="AG27" s="156">
        <v>0.25</v>
      </c>
      <c r="AH27" s="157">
        <f>VLOOKUP($AF$2,'3.5 Кач-во отчетн БУ АУ'!$A$6:$E$21,5,0)</f>
        <v>0</v>
      </c>
      <c r="AI27" s="157">
        <f t="shared" si="75"/>
        <v>0</v>
      </c>
      <c r="AJ27" s="158"/>
      <c r="AK27" s="156">
        <v>0.25</v>
      </c>
      <c r="AL27" s="156">
        <v>0</v>
      </c>
      <c r="AM27" s="157">
        <f>VLOOKUP($AK$2,'3.5 Кач-во отчетн БУ АУ'!$A$6:$E$21,5,0)</f>
        <v>0</v>
      </c>
      <c r="AN27" s="157">
        <f t="shared" si="77"/>
        <v>0</v>
      </c>
      <c r="AO27" s="158"/>
      <c r="AP27" s="156">
        <v>0.25</v>
      </c>
      <c r="AQ27" s="156">
        <v>0.25</v>
      </c>
      <c r="AR27" s="157">
        <f>VLOOKUP($AP$2,'3.5 Кач-во отчетн БУ АУ'!$A$6:$E$21,5,0)</f>
        <v>3</v>
      </c>
      <c r="AS27" s="157">
        <f t="shared" si="78"/>
        <v>0.75</v>
      </c>
      <c r="AT27" s="158"/>
      <c r="AU27" s="156">
        <v>0.25</v>
      </c>
      <c r="AV27" s="156">
        <v>0</v>
      </c>
      <c r="AW27" s="157">
        <f>VLOOKUP($AU$2,'3.5 Кач-во отчетн БУ АУ'!$A$6:$E$21,5,0)</f>
        <v>0</v>
      </c>
      <c r="AX27" s="157">
        <f t="shared" si="80"/>
        <v>0</v>
      </c>
      <c r="AY27" s="158"/>
      <c r="AZ27" s="156">
        <v>0.25</v>
      </c>
      <c r="BA27" s="156">
        <v>0</v>
      </c>
      <c r="BB27" s="157">
        <f>VLOOKUP($AZ$2,'3.5 Кач-во отчетн БУ АУ'!$A$6:$E$21,5,0)</f>
        <v>0</v>
      </c>
      <c r="BC27" s="157">
        <f t="shared" si="82"/>
        <v>0</v>
      </c>
      <c r="BD27" s="158"/>
      <c r="BE27" s="156">
        <v>0.25</v>
      </c>
      <c r="BF27" s="156">
        <v>0</v>
      </c>
      <c r="BG27" s="157">
        <f>VLOOKUP($BE$2,'3.5 Кач-во отчетн БУ АУ'!$A$6:$E$21,5,0)</f>
        <v>0</v>
      </c>
      <c r="BH27" s="157">
        <f t="shared" si="84"/>
        <v>0</v>
      </c>
      <c r="BI27" s="158"/>
      <c r="BJ27" s="156">
        <v>0.25</v>
      </c>
      <c r="BK27" s="156">
        <v>0.25</v>
      </c>
      <c r="BL27" s="157">
        <f>VLOOKUP($BJ$2,'3.5 Кач-во отчетн БУ АУ'!$A$6:$E$21,5,0)</f>
        <v>0</v>
      </c>
      <c r="BM27" s="157">
        <f t="shared" si="85"/>
        <v>0</v>
      </c>
      <c r="BN27" s="158"/>
      <c r="BO27" s="156">
        <v>0.25</v>
      </c>
      <c r="BP27" s="156">
        <v>0</v>
      </c>
      <c r="BQ27" s="157">
        <f>VLOOKUP($BO$2,'3.5 Кач-во отчетн БУ АУ'!$A$6:$E$21,5,0)</f>
        <v>0</v>
      </c>
      <c r="BR27" s="157">
        <f t="shared" si="87"/>
        <v>0</v>
      </c>
      <c r="BS27" s="158"/>
      <c r="BT27" s="156">
        <v>0.25</v>
      </c>
      <c r="BU27" s="156">
        <v>0</v>
      </c>
      <c r="BV27" s="157">
        <f>VLOOKUP($BT$2,'3.5 Кач-во отчетн БУ АУ'!$A$6:$E$21,5,0)</f>
        <v>0</v>
      </c>
      <c r="BW27" s="157">
        <f t="shared" si="89"/>
        <v>0</v>
      </c>
      <c r="BX27" s="158"/>
      <c r="BY27" s="156">
        <v>0.25</v>
      </c>
      <c r="BZ27" s="156">
        <v>0</v>
      </c>
      <c r="CA27" s="157">
        <f>VLOOKUP($BY$2,'3.5 Кач-во отчетн БУ АУ'!$A$6:$E$21,5,0)</f>
        <v>0</v>
      </c>
      <c r="CB27" s="157">
        <f t="shared" si="91"/>
        <v>0</v>
      </c>
      <c r="CC27" s="158"/>
    </row>
    <row r="28" spans="1:81" s="168" customFormat="1" ht="42.75">
      <c r="A28" s="150" t="s">
        <v>125</v>
      </c>
      <c r="B28" s="151">
        <v>0.2</v>
      </c>
      <c r="C28" s="151"/>
      <c r="D28" s="152"/>
      <c r="E28" s="152">
        <f>SUM(E29:E30)</f>
        <v>0</v>
      </c>
      <c r="F28" s="153">
        <f>ROUND(E28*C28,2)</f>
        <v>0</v>
      </c>
      <c r="G28" s="151">
        <v>0.2</v>
      </c>
      <c r="H28" s="151">
        <f>G28</f>
        <v>0.2</v>
      </c>
      <c r="I28" s="152"/>
      <c r="J28" s="152">
        <f>SUM(J29:J30)</f>
        <v>3</v>
      </c>
      <c r="K28" s="153">
        <f>ROUND(J28*H28,2)</f>
        <v>0.6</v>
      </c>
      <c r="L28" s="151">
        <v>0.2</v>
      </c>
      <c r="M28" s="151"/>
      <c r="N28" s="152"/>
      <c r="O28" s="152">
        <f>SUM(O29:O30)</f>
        <v>0</v>
      </c>
      <c r="P28" s="153">
        <f>ROUND(O28*M28,2)</f>
        <v>0</v>
      </c>
      <c r="Q28" s="151">
        <v>0.2</v>
      </c>
      <c r="R28" s="151"/>
      <c r="S28" s="152"/>
      <c r="T28" s="152">
        <f>SUM(T29:T30)</f>
        <v>0</v>
      </c>
      <c r="U28" s="153">
        <f>ROUND(T28*R28,2)</f>
        <v>0</v>
      </c>
      <c r="V28" s="151">
        <v>0.2</v>
      </c>
      <c r="W28" s="151"/>
      <c r="X28" s="152"/>
      <c r="Y28" s="152">
        <f>SUM(Y29:Y30)</f>
        <v>0</v>
      </c>
      <c r="Z28" s="153">
        <f>ROUND(Y28*W28,2)</f>
        <v>0</v>
      </c>
      <c r="AA28" s="151">
        <v>0.2</v>
      </c>
      <c r="AB28" s="151"/>
      <c r="AC28" s="152"/>
      <c r="AD28" s="152">
        <f>SUM(AD29:AD30)</f>
        <v>0</v>
      </c>
      <c r="AE28" s="153">
        <f>ROUND(AD28*AB28,2)</f>
        <v>0</v>
      </c>
      <c r="AF28" s="151">
        <v>0.2</v>
      </c>
      <c r="AG28" s="151"/>
      <c r="AH28" s="152"/>
      <c r="AI28" s="152">
        <f>SUM(AI29:AI30)</f>
        <v>0</v>
      </c>
      <c r="AJ28" s="153">
        <f>ROUND(AI28*AG28,2)</f>
        <v>0</v>
      </c>
      <c r="AK28" s="151">
        <v>0.2</v>
      </c>
      <c r="AL28" s="151">
        <f>ROUND(AK28*100%/90%,5)</f>
        <v>0.22222</v>
      </c>
      <c r="AM28" s="152"/>
      <c r="AN28" s="152">
        <f>SUM(AN29:AN30)</f>
        <v>5</v>
      </c>
      <c r="AO28" s="153">
        <f>ROUND(AN28*AL28,2)</f>
        <v>1.1100000000000001</v>
      </c>
      <c r="AP28" s="151">
        <v>0.2</v>
      </c>
      <c r="AQ28" s="151"/>
      <c r="AR28" s="152"/>
      <c r="AS28" s="152">
        <f>SUM(AS29:AS30)</f>
        <v>0</v>
      </c>
      <c r="AT28" s="153">
        <f>ROUND(AS28*AQ28,2)</f>
        <v>0</v>
      </c>
      <c r="AU28" s="151">
        <v>0.2</v>
      </c>
      <c r="AV28" s="151"/>
      <c r="AW28" s="152"/>
      <c r="AX28" s="152">
        <f>SUM(AX29:AX30)</f>
        <v>0</v>
      </c>
      <c r="AY28" s="153">
        <f>ROUND(AX28*AV28,2)</f>
        <v>0</v>
      </c>
      <c r="AZ28" s="151">
        <v>0.2</v>
      </c>
      <c r="BA28" s="151"/>
      <c r="BB28" s="152"/>
      <c r="BC28" s="152">
        <f>SUM(BC29:BC30)</f>
        <v>0</v>
      </c>
      <c r="BD28" s="153">
        <f>ROUND(BC28*BA28,2)</f>
        <v>0</v>
      </c>
      <c r="BE28" s="151">
        <v>0.2</v>
      </c>
      <c r="BF28" s="151"/>
      <c r="BG28" s="152"/>
      <c r="BH28" s="152">
        <f>SUM(BH29:BH30)</f>
        <v>0</v>
      </c>
      <c r="BI28" s="153">
        <f>ROUND(BH28*BF28,2)</f>
        <v>0</v>
      </c>
      <c r="BJ28" s="151">
        <v>0.2</v>
      </c>
      <c r="BK28" s="151">
        <v>0.2</v>
      </c>
      <c r="BL28" s="152"/>
      <c r="BM28" s="152">
        <f>SUM(BM29:BM30)</f>
        <v>2</v>
      </c>
      <c r="BN28" s="153">
        <f>ROUND(BM28*BK28,2)</f>
        <v>0.4</v>
      </c>
      <c r="BO28" s="151">
        <v>0.2</v>
      </c>
      <c r="BP28" s="151">
        <f>ROUND(BO28*100%/90%,5)</f>
        <v>0.22222</v>
      </c>
      <c r="BQ28" s="152"/>
      <c r="BR28" s="152">
        <f>SUM(BR29:BR30)</f>
        <v>0</v>
      </c>
      <c r="BS28" s="153">
        <f>ROUND(BR28*BP28,2)</f>
        <v>0</v>
      </c>
      <c r="BT28" s="151">
        <v>0.2</v>
      </c>
      <c r="BU28" s="151">
        <f>BT28</f>
        <v>0.2</v>
      </c>
      <c r="BV28" s="152"/>
      <c r="BW28" s="152">
        <f>SUM(BW29:BW30)</f>
        <v>5</v>
      </c>
      <c r="BX28" s="153">
        <f>ROUND(BW28*BU28,2)</f>
        <v>1</v>
      </c>
      <c r="BY28" s="151">
        <v>0.2</v>
      </c>
      <c r="BZ28" s="151"/>
      <c r="CA28" s="152"/>
      <c r="CB28" s="152">
        <f>SUM(CB29:CB30)</f>
        <v>0</v>
      </c>
      <c r="CC28" s="153">
        <f>ROUND(CB28*BZ28,2)</f>
        <v>0</v>
      </c>
    </row>
    <row r="29" spans="1:81" s="165" customFormat="1" ht="45">
      <c r="A29" s="155" t="s">
        <v>126</v>
      </c>
      <c r="B29" s="156">
        <v>0.6</v>
      </c>
      <c r="C29" s="156"/>
      <c r="D29" s="157"/>
      <c r="E29" s="157">
        <f t="shared" ref="E29:E30" si="92">ROUND(D29*C29,2)</f>
        <v>0</v>
      </c>
      <c r="F29" s="158"/>
      <c r="G29" s="156">
        <v>0.6</v>
      </c>
      <c r="H29" s="156">
        <v>0.6</v>
      </c>
      <c r="I29" s="157">
        <f>VLOOKUP($G$2,'4.1 наруш бюдж зак'!A5:F18,6,0)</f>
        <v>5</v>
      </c>
      <c r="J29" s="157">
        <f t="shared" ref="J29:J30" si="93">ROUND(I29*H29,2)</f>
        <v>3</v>
      </c>
      <c r="K29" s="158"/>
      <c r="L29" s="156">
        <v>0.6</v>
      </c>
      <c r="M29" s="156"/>
      <c r="N29" s="157">
        <f>VLOOKUP($L2,'4.1 наруш бюдж зак'!$A$5:$F$18,6,0)</f>
        <v>0</v>
      </c>
      <c r="O29" s="157">
        <f t="shared" ref="O29:O30" si="94">ROUND(N29*M29,2)</f>
        <v>0</v>
      </c>
      <c r="P29" s="158"/>
      <c r="Q29" s="156">
        <v>0.6</v>
      </c>
      <c r="R29" s="156"/>
      <c r="S29" s="157">
        <f>VLOOKUP($Q2,'4.1 наруш бюдж зак'!$A$5:$F$18,6,0)</f>
        <v>0</v>
      </c>
      <c r="T29" s="157">
        <f t="shared" ref="T29:T30" si="95">ROUND(S29*R29,2)</f>
        <v>0</v>
      </c>
      <c r="U29" s="158"/>
      <c r="V29" s="156">
        <v>0.6</v>
      </c>
      <c r="W29" s="156"/>
      <c r="X29" s="157">
        <f>VLOOKUP($V2,'4.1 наруш бюдж зак'!$A$5:$F$18,6,0)</f>
        <v>0</v>
      </c>
      <c r="Y29" s="157">
        <f t="shared" ref="Y29:Y30" si="96">ROUND(X29*W29,2)</f>
        <v>0</v>
      </c>
      <c r="Z29" s="158"/>
      <c r="AA29" s="156">
        <v>0.6</v>
      </c>
      <c r="AB29" s="156"/>
      <c r="AC29" s="157">
        <f>VLOOKUP($AA2,'4.1 наруш бюдж зак'!$A$5:$F$18,6,0)</f>
        <v>0</v>
      </c>
      <c r="AD29" s="157">
        <f t="shared" ref="AD29:AD30" si="97">ROUND(AC29*AB29,2)</f>
        <v>0</v>
      </c>
      <c r="AE29" s="158"/>
      <c r="AF29" s="156">
        <v>0.6</v>
      </c>
      <c r="AG29" s="156"/>
      <c r="AH29" s="157">
        <f>VLOOKUP($AF2,'4.1 наруш бюдж зак'!$A$5:$F$18,6,0)</f>
        <v>0</v>
      </c>
      <c r="AI29" s="157">
        <f t="shared" ref="AI29:AI30" si="98">ROUND(AH29*AG29,2)</f>
        <v>0</v>
      </c>
      <c r="AJ29" s="158"/>
      <c r="AK29" s="156">
        <v>0.6</v>
      </c>
      <c r="AL29" s="156">
        <v>0.6</v>
      </c>
      <c r="AM29" s="157">
        <f>VLOOKUP($AK2,'4.1 наруш бюдж зак'!$A$5:$F$18,6,0)</f>
        <v>5</v>
      </c>
      <c r="AN29" s="157">
        <f t="shared" ref="AN29:AN30" si="99">ROUND(AM29*AL29,2)</f>
        <v>3</v>
      </c>
      <c r="AO29" s="158"/>
      <c r="AP29" s="156">
        <v>0.6</v>
      </c>
      <c r="AQ29" s="156"/>
      <c r="AR29" s="157">
        <f>VLOOKUP($AP2,'4.1 наруш бюдж зак'!$A$5:$F$18,6,0)</f>
        <v>0</v>
      </c>
      <c r="AS29" s="157">
        <f t="shared" ref="AS29:AS30" si="100">ROUND(AR29*AQ29,2)</f>
        <v>0</v>
      </c>
      <c r="AT29" s="158"/>
      <c r="AU29" s="156">
        <v>0.6</v>
      </c>
      <c r="AV29" s="156"/>
      <c r="AW29" s="157">
        <f>VLOOKUP($AU2,'4.1 наруш бюдж зак'!$A$5:$F$18,6,0)</f>
        <v>0</v>
      </c>
      <c r="AX29" s="157">
        <f t="shared" ref="AX29:AX30" si="101">ROUND(AW29*AV29,2)</f>
        <v>0</v>
      </c>
      <c r="AY29" s="158"/>
      <c r="AZ29" s="156">
        <v>0.6</v>
      </c>
      <c r="BA29" s="156"/>
      <c r="BB29" s="157">
        <f>VLOOKUP($AZ2,'4.1 наруш бюдж зак'!$A$5:$F$18,6,0)</f>
        <v>0</v>
      </c>
      <c r="BC29" s="157">
        <f t="shared" ref="BC29:BC30" si="102">ROUND(BB29*BA29,2)</f>
        <v>0</v>
      </c>
      <c r="BD29" s="158"/>
      <c r="BE29" s="156">
        <v>0.6</v>
      </c>
      <c r="BF29" s="156"/>
      <c r="BG29" s="157">
        <f>VLOOKUP($BE2,'4.1 наруш бюдж зак'!$A$5:$F$18,6,0)</f>
        <v>0</v>
      </c>
      <c r="BH29" s="157">
        <f t="shared" ref="BH29:BH30" si="103">ROUND(BG29*BF29,2)</f>
        <v>0</v>
      </c>
      <c r="BI29" s="158"/>
      <c r="BJ29" s="156">
        <v>0.6</v>
      </c>
      <c r="BK29" s="156">
        <v>0.6</v>
      </c>
      <c r="BL29" s="157">
        <f>VLOOKUP($BJ2,'4.1 наруш бюдж зак'!$A$5:$F$20,6,0)</f>
        <v>0</v>
      </c>
      <c r="BM29" s="157">
        <f t="shared" ref="BM29:BM30" si="104">ROUND(BL29*BK29,2)</f>
        <v>0</v>
      </c>
      <c r="BN29" s="158"/>
      <c r="BO29" s="156">
        <v>0.6</v>
      </c>
      <c r="BP29" s="156">
        <v>0.6</v>
      </c>
      <c r="BQ29" s="157">
        <f>VLOOKUP($BO2,'4.1 наруш бюдж зак'!$A$5:$F$21,6,0)</f>
        <v>0</v>
      </c>
      <c r="BR29" s="157">
        <f t="shared" ref="BR29:BR30" si="105">ROUND(BQ29*BP29,2)</f>
        <v>0</v>
      </c>
      <c r="BS29" s="158"/>
      <c r="BT29" s="156">
        <v>0.6</v>
      </c>
      <c r="BU29" s="156">
        <f>ROUND(BT29*100%/60%,5)</f>
        <v>1</v>
      </c>
      <c r="BV29" s="157">
        <f>VLOOKUP($BT2,'4.1 наруш бюдж зак'!$A$6:$F$21,6,0)</f>
        <v>5</v>
      </c>
      <c r="BW29" s="157">
        <f t="shared" ref="BW29:BW30" si="106">ROUND(BV29*BU29,2)</f>
        <v>5</v>
      </c>
      <c r="BX29" s="158"/>
      <c r="BY29" s="156">
        <v>0.6</v>
      </c>
      <c r="BZ29" s="156"/>
      <c r="CA29" s="157">
        <v>0</v>
      </c>
      <c r="CB29" s="157">
        <f t="shared" ref="CB29:CB30" si="107">ROUND(CA29*BZ29,2)</f>
        <v>0</v>
      </c>
      <c r="CC29" s="158"/>
    </row>
    <row r="30" spans="1:81" s="165" customFormat="1" ht="45">
      <c r="A30" s="155" t="s">
        <v>127</v>
      </c>
      <c r="B30" s="156">
        <v>0.4</v>
      </c>
      <c r="C30" s="156"/>
      <c r="D30" s="157"/>
      <c r="E30" s="157">
        <f t="shared" si="92"/>
        <v>0</v>
      </c>
      <c r="F30" s="158"/>
      <c r="G30" s="156">
        <v>0.4</v>
      </c>
      <c r="H30" s="156">
        <v>0.4</v>
      </c>
      <c r="I30" s="157">
        <f>VLOOKUP($G$2,'4.2 Исп пред-й'!A6:G19,7,0)</f>
        <v>0</v>
      </c>
      <c r="J30" s="157">
        <f t="shared" si="93"/>
        <v>0</v>
      </c>
      <c r="K30" s="158"/>
      <c r="L30" s="156">
        <v>0.4</v>
      </c>
      <c r="M30" s="156"/>
      <c r="N30" s="157">
        <f>VLOOKUP($L2,'4.2 Исп пред-й'!$A$6:$G$19,7,0)</f>
        <v>0</v>
      </c>
      <c r="O30" s="157">
        <f t="shared" si="94"/>
        <v>0</v>
      </c>
      <c r="P30" s="158"/>
      <c r="Q30" s="156">
        <v>0.4</v>
      </c>
      <c r="R30" s="156"/>
      <c r="S30" s="157">
        <f>VLOOKUP($Q2,'4.2 Исп пред-й'!$A$6:$G$19,7,0)</f>
        <v>0</v>
      </c>
      <c r="T30" s="157">
        <f t="shared" si="95"/>
        <v>0</v>
      </c>
      <c r="U30" s="158"/>
      <c r="V30" s="156">
        <v>0.4</v>
      </c>
      <c r="W30" s="156"/>
      <c r="X30" s="157">
        <f>VLOOKUP($V2,'4.2 Исп пред-й'!$A$6:$G$19,7,0)</f>
        <v>0</v>
      </c>
      <c r="Y30" s="157">
        <f t="shared" si="96"/>
        <v>0</v>
      </c>
      <c r="Z30" s="158"/>
      <c r="AA30" s="156">
        <v>0.4</v>
      </c>
      <c r="AB30" s="156"/>
      <c r="AC30" s="157">
        <f>VLOOKUP($AA2,'4.2 Исп пред-й'!$A$6:$G$19,7,0)</f>
        <v>5</v>
      </c>
      <c r="AD30" s="157">
        <f t="shared" si="97"/>
        <v>0</v>
      </c>
      <c r="AE30" s="158"/>
      <c r="AF30" s="156">
        <v>0.4</v>
      </c>
      <c r="AG30" s="156"/>
      <c r="AH30" s="157">
        <f>VLOOKUP($AF2,'4.2 Исп пред-й'!$A$6:$G$19,7,0)</f>
        <v>0</v>
      </c>
      <c r="AI30" s="157">
        <f t="shared" si="98"/>
        <v>0</v>
      </c>
      <c r="AJ30" s="158"/>
      <c r="AK30" s="156">
        <v>0.4</v>
      </c>
      <c r="AL30" s="156">
        <v>0.4</v>
      </c>
      <c r="AM30" s="157">
        <f>VLOOKUP($AK2,'4.2 Исп пред-й'!$A$6:$G$19,7,0)</f>
        <v>5</v>
      </c>
      <c r="AN30" s="157">
        <f t="shared" si="99"/>
        <v>2</v>
      </c>
      <c r="AO30" s="158"/>
      <c r="AP30" s="156">
        <v>0.4</v>
      </c>
      <c r="AQ30" s="156"/>
      <c r="AR30" s="157">
        <f>VLOOKUP($AP2,'4.2 Исп пред-й'!$A$6:$G$19,7,0)</f>
        <v>0</v>
      </c>
      <c r="AS30" s="157">
        <f t="shared" si="100"/>
        <v>0</v>
      </c>
      <c r="AT30" s="158"/>
      <c r="AU30" s="156">
        <v>0.4</v>
      </c>
      <c r="AV30" s="156"/>
      <c r="AW30" s="157">
        <f>VLOOKUP($AU2,'4.2 Исп пред-й'!$A$6:$G$19,7,0)</f>
        <v>0</v>
      </c>
      <c r="AX30" s="157">
        <f t="shared" si="101"/>
        <v>0</v>
      </c>
      <c r="AY30" s="158"/>
      <c r="AZ30" s="156">
        <v>0.4</v>
      </c>
      <c r="BA30" s="156"/>
      <c r="BB30" s="157">
        <f>VLOOKUP($AZ2,'4.2 Исп пред-й'!$A$6:$G$19,7,0)</f>
        <v>0</v>
      </c>
      <c r="BC30" s="157">
        <f t="shared" si="102"/>
        <v>0</v>
      </c>
      <c r="BD30" s="158"/>
      <c r="BE30" s="156">
        <v>0.4</v>
      </c>
      <c r="BF30" s="156"/>
      <c r="BG30" s="157">
        <f>VLOOKUP($BE2,'4.2 Исп пред-й'!$A$6:$G$19,7,0)</f>
        <v>0</v>
      </c>
      <c r="BH30" s="157">
        <f t="shared" si="103"/>
        <v>0</v>
      </c>
      <c r="BI30" s="158"/>
      <c r="BJ30" s="156">
        <v>0.4</v>
      </c>
      <c r="BK30" s="156">
        <v>0.4</v>
      </c>
      <c r="BL30" s="157">
        <f>VLOOKUP($BJ2,'4.2 Исп пред-й'!$A$6:$G$19,7,0)</f>
        <v>5</v>
      </c>
      <c r="BM30" s="157">
        <f t="shared" si="104"/>
        <v>2</v>
      </c>
      <c r="BN30" s="158"/>
      <c r="BO30" s="156">
        <v>0.4</v>
      </c>
      <c r="BP30" s="156">
        <v>0.4</v>
      </c>
      <c r="BQ30" s="157">
        <f>VLOOKUP($BO2,'4.2 Исп пред-й'!$A$6:$G$19,7,0)</f>
        <v>0</v>
      </c>
      <c r="BR30" s="157">
        <f t="shared" si="105"/>
        <v>0</v>
      </c>
      <c r="BS30" s="158"/>
      <c r="BT30" s="156">
        <v>0.4</v>
      </c>
      <c r="BU30" s="156"/>
      <c r="BV30" s="157">
        <f>VLOOKUP($BT2,'4.2 Исп пред-й'!$A$6:$G$21,7,0)</f>
        <v>5</v>
      </c>
      <c r="BW30" s="157">
        <f t="shared" si="106"/>
        <v>0</v>
      </c>
      <c r="BX30" s="158"/>
      <c r="BY30" s="156">
        <v>0.4</v>
      </c>
      <c r="BZ30" s="156"/>
      <c r="CA30" s="157">
        <v>0</v>
      </c>
      <c r="CB30" s="157">
        <f t="shared" si="107"/>
        <v>0</v>
      </c>
      <c r="CC30" s="158"/>
    </row>
    <row r="31" spans="1:81" s="169" customFormat="1" ht="42.75">
      <c r="A31" s="170" t="s">
        <v>128</v>
      </c>
      <c r="B31" s="171">
        <v>0.1</v>
      </c>
      <c r="C31" s="171"/>
      <c r="D31" s="172"/>
      <c r="E31" s="172">
        <f>SUM(E32:E34)</f>
        <v>0</v>
      </c>
      <c r="F31" s="173">
        <f>ROUND(E31*C31,2)</f>
        <v>0</v>
      </c>
      <c r="G31" s="171">
        <v>0.1</v>
      </c>
      <c r="H31" s="171">
        <f>G31</f>
        <v>0.1</v>
      </c>
      <c r="I31" s="172"/>
      <c r="J31" s="172">
        <f>SUM(J32:J34)</f>
        <v>5</v>
      </c>
      <c r="K31" s="173">
        <f>ROUND(J31*H31,2)</f>
        <v>0.5</v>
      </c>
      <c r="L31" s="171">
        <v>0.1</v>
      </c>
      <c r="M31" s="171"/>
      <c r="N31" s="172"/>
      <c r="O31" s="172">
        <f>SUM(O32:O34)</f>
        <v>0</v>
      </c>
      <c r="P31" s="173">
        <f>ROUND(O31*M31,2)</f>
        <v>0</v>
      </c>
      <c r="Q31" s="171">
        <v>0.1</v>
      </c>
      <c r="R31" s="171"/>
      <c r="S31" s="172"/>
      <c r="T31" s="172">
        <f>SUM(T32:T34)</f>
        <v>0</v>
      </c>
      <c r="U31" s="173">
        <f>ROUND(T31*R31,2)</f>
        <v>0</v>
      </c>
      <c r="V31" s="171">
        <v>0.1</v>
      </c>
      <c r="W31" s="171"/>
      <c r="X31" s="172"/>
      <c r="Y31" s="172">
        <f>SUM(Y32:Y34)</f>
        <v>0</v>
      </c>
      <c r="Z31" s="173">
        <f>ROUND(Y31*W31,2)</f>
        <v>0</v>
      </c>
      <c r="AA31" s="171">
        <v>0.1</v>
      </c>
      <c r="AB31" s="171">
        <f>ROUND(AA31*100%/80%,5)</f>
        <v>0.125</v>
      </c>
      <c r="AC31" s="172"/>
      <c r="AD31" s="172">
        <f>SUM(AD32:AD34)</f>
        <v>5</v>
      </c>
      <c r="AE31" s="173">
        <f>ROUND(AD31*AB31,2)</f>
        <v>0.63</v>
      </c>
      <c r="AF31" s="171">
        <v>0.1</v>
      </c>
      <c r="AG31" s="171">
        <f>ROUND(AF31*100%/80%,5)</f>
        <v>0.125</v>
      </c>
      <c r="AH31" s="172"/>
      <c r="AI31" s="172">
        <f>SUM(AI32:AI34)</f>
        <v>5</v>
      </c>
      <c r="AJ31" s="173">
        <f>ROUND(AI31*AG31,2)</f>
        <v>0.63</v>
      </c>
      <c r="AK31" s="171">
        <v>0.1</v>
      </c>
      <c r="AL31" s="171"/>
      <c r="AM31" s="172"/>
      <c r="AN31" s="172">
        <f>SUM(AN32:AN34)</f>
        <v>0</v>
      </c>
      <c r="AO31" s="173">
        <f>ROUND(AN31*AL31,2)</f>
        <v>0</v>
      </c>
      <c r="AP31" s="171">
        <v>0.1</v>
      </c>
      <c r="AQ31" s="171">
        <f>ROUND(AP31*100%/80%,5)</f>
        <v>0.125</v>
      </c>
      <c r="AR31" s="172"/>
      <c r="AS31" s="172">
        <f>SUM(AS32:AS34)</f>
        <v>5</v>
      </c>
      <c r="AT31" s="173">
        <f>ROUND(AS31*AQ31,2)</f>
        <v>0.63</v>
      </c>
      <c r="AU31" s="171">
        <v>0.1</v>
      </c>
      <c r="AV31" s="171"/>
      <c r="AW31" s="172"/>
      <c r="AX31" s="172">
        <f>SUM(AX32:AX34)</f>
        <v>0</v>
      </c>
      <c r="AY31" s="173">
        <f>ROUND(AX31*AV31,2)</f>
        <v>0</v>
      </c>
      <c r="AZ31" s="171">
        <v>0.1</v>
      </c>
      <c r="BA31" s="171"/>
      <c r="BB31" s="172"/>
      <c r="BC31" s="172">
        <f>SUM(BC32:BC34)</f>
        <v>0</v>
      </c>
      <c r="BD31" s="173">
        <f>ROUND(BC31*BA31,2)</f>
        <v>0</v>
      </c>
      <c r="BE31" s="171">
        <v>0.1</v>
      </c>
      <c r="BF31" s="171"/>
      <c r="BG31" s="172"/>
      <c r="BH31" s="172">
        <f>SUM(BH32:BH34)</f>
        <v>0</v>
      </c>
      <c r="BI31" s="173">
        <f>ROUND(BH31*BF31,2)</f>
        <v>0</v>
      </c>
      <c r="BJ31" s="171">
        <v>0.1</v>
      </c>
      <c r="BK31" s="171">
        <v>0.1</v>
      </c>
      <c r="BL31" s="172"/>
      <c r="BM31" s="172">
        <f>SUM(BM32:BM34)</f>
        <v>5</v>
      </c>
      <c r="BN31" s="173">
        <f>ROUND(BM31*BK31,2)</f>
        <v>0.5</v>
      </c>
      <c r="BO31" s="171">
        <v>0.1</v>
      </c>
      <c r="BP31" s="171"/>
      <c r="BQ31" s="172"/>
      <c r="BR31" s="172">
        <f>SUM(BR32:BR34)</f>
        <v>0</v>
      </c>
      <c r="BS31" s="173">
        <f>ROUND(BR31*BP31,2)</f>
        <v>0</v>
      </c>
      <c r="BT31" s="171">
        <v>0.1</v>
      </c>
      <c r="BU31" s="171">
        <f>BT31</f>
        <v>0.1</v>
      </c>
      <c r="BV31" s="172"/>
      <c r="BW31" s="172">
        <f>SUM(BW32:BW34)</f>
        <v>5</v>
      </c>
      <c r="BX31" s="173">
        <f>ROUND(BW31*BU31,2)</f>
        <v>0.5</v>
      </c>
      <c r="BY31" s="171">
        <v>0.1</v>
      </c>
      <c r="BZ31" s="171"/>
      <c r="CA31" s="172"/>
      <c r="CB31" s="172">
        <f>SUM(CB32:CB34)</f>
        <v>0</v>
      </c>
      <c r="CC31" s="173">
        <f>ROUND(CB31*BZ31,2)</f>
        <v>0</v>
      </c>
    </row>
    <row r="32" spans="1:81" s="165" customFormat="1" ht="75">
      <c r="A32" s="155" t="s">
        <v>129</v>
      </c>
      <c r="B32" s="156">
        <v>0.3</v>
      </c>
      <c r="C32" s="156"/>
      <c r="D32" s="157"/>
      <c r="E32" s="157"/>
      <c r="F32" s="158"/>
      <c r="G32" s="156">
        <v>0.3</v>
      </c>
      <c r="H32" s="156"/>
      <c r="I32" s="157"/>
      <c r="J32" s="157">
        <f t="shared" ref="J32:J34" si="108">ROUND(I32*H32,2)</f>
        <v>0</v>
      </c>
      <c r="K32" s="158"/>
      <c r="L32" s="156">
        <v>0.3</v>
      </c>
      <c r="M32" s="156"/>
      <c r="N32" s="157"/>
      <c r="O32" s="157">
        <f t="shared" ref="O32:O34" si="109">ROUND(N32*M32,2)</f>
        <v>0</v>
      </c>
      <c r="P32" s="158"/>
      <c r="Q32" s="156">
        <v>0.3</v>
      </c>
      <c r="R32" s="156"/>
      <c r="S32" s="157">
        <v>0</v>
      </c>
      <c r="T32" s="157">
        <f t="shared" ref="T32:T34" si="110">ROUND(S32*R32,2)</f>
        <v>0</v>
      </c>
      <c r="U32" s="158"/>
      <c r="V32" s="156">
        <v>0.3</v>
      </c>
      <c r="W32" s="156"/>
      <c r="X32" s="157">
        <v>0</v>
      </c>
      <c r="Y32" s="157">
        <f t="shared" ref="Y32:Y34" si="111">ROUND(X32*W32,2)</f>
        <v>0</v>
      </c>
      <c r="Z32" s="158"/>
      <c r="AA32" s="156">
        <v>0.3</v>
      </c>
      <c r="AB32" s="156">
        <v>0.3</v>
      </c>
      <c r="AC32" s="157">
        <f>VLOOKUP($AA2,'5.1 Утв норм затрат'!$A$6:$F$19,6,0)</f>
        <v>5</v>
      </c>
      <c r="AD32" s="157">
        <f t="shared" ref="AD32:AD34" si="112">ROUND(AC32*AB32,2)</f>
        <v>1.5</v>
      </c>
      <c r="AE32" s="158"/>
      <c r="AF32" s="156">
        <v>0.3</v>
      </c>
      <c r="AG32" s="156">
        <v>0.3</v>
      </c>
      <c r="AH32" s="157">
        <f>VLOOKUP($AF2,'5.1 Утв норм затрат'!$A$6:$F$19,6,0)</f>
        <v>5</v>
      </c>
      <c r="AI32" s="157">
        <f t="shared" ref="AI32:AI34" si="113">ROUND(AH32*AG32,2)</f>
        <v>1.5</v>
      </c>
      <c r="AJ32" s="158"/>
      <c r="AK32" s="156">
        <v>0.3</v>
      </c>
      <c r="AL32" s="156"/>
      <c r="AM32" s="157">
        <f>VLOOKUP($AK2,'5.1 Утв норм затрат'!$A$6:$F$19,5,0)</f>
        <v>0</v>
      </c>
      <c r="AN32" s="157">
        <f t="shared" ref="AN32:AN34" si="114">ROUND(AM32*AL32,2)</f>
        <v>0</v>
      </c>
      <c r="AO32" s="158"/>
      <c r="AP32" s="156">
        <v>0.3</v>
      </c>
      <c r="AQ32" s="156">
        <v>0.3</v>
      </c>
      <c r="AR32" s="157">
        <f>VLOOKUP($AP2,'5.1 Утв норм затрат'!$A$6:$F$19,6,0)</f>
        <v>5</v>
      </c>
      <c r="AS32" s="157">
        <f t="shared" ref="AS32:AS34" si="115">ROUND(AR32*AQ32,2)</f>
        <v>1.5</v>
      </c>
      <c r="AT32" s="158"/>
      <c r="AU32" s="156">
        <v>0.3</v>
      </c>
      <c r="AV32" s="156"/>
      <c r="AW32" s="157">
        <f>VLOOKUP($AU2,'5.1 Утв норм затрат'!$A$6:$F$19,5,0)</f>
        <v>0</v>
      </c>
      <c r="AX32" s="157">
        <f t="shared" ref="AX32:AX34" si="116">ROUND(AW32*AV32,2)</f>
        <v>0</v>
      </c>
      <c r="AY32" s="158"/>
      <c r="AZ32" s="156">
        <v>0.3</v>
      </c>
      <c r="BA32" s="156"/>
      <c r="BB32" s="157">
        <f>VLOOKUP($AZ2,'5.1 Утв норм затрат'!$A$6:$F$19,5,0)</f>
        <v>0</v>
      </c>
      <c r="BC32" s="157">
        <f t="shared" ref="BC32:BC34" si="117">ROUND(BB32*BA32,2)</f>
        <v>0</v>
      </c>
      <c r="BD32" s="158"/>
      <c r="BE32" s="156">
        <v>0.3</v>
      </c>
      <c r="BF32" s="156"/>
      <c r="BG32" s="157">
        <f>VLOOKUP($BE2,'5.1 Утв норм затрат'!$A$6:$F$19,5,0)</f>
        <v>0</v>
      </c>
      <c r="BH32" s="157">
        <f t="shared" ref="BH32:BH34" si="118">ROUND(BG32*BF32,2)</f>
        <v>0</v>
      </c>
      <c r="BI32" s="158"/>
      <c r="BJ32" s="156">
        <v>0.3</v>
      </c>
      <c r="BK32" s="156">
        <v>0.3</v>
      </c>
      <c r="BL32" s="157">
        <f>VLOOKUP($BJ2,'5.1 Утв норм затрат'!$A$6:$F$19,6,0)</f>
        <v>5</v>
      </c>
      <c r="BM32" s="157">
        <f t="shared" ref="BM32:BM34" si="119">ROUND(BL32*BK32,2)</f>
        <v>1.5</v>
      </c>
      <c r="BN32" s="158"/>
      <c r="BO32" s="156">
        <v>0.3</v>
      </c>
      <c r="BP32" s="156"/>
      <c r="BQ32" s="157">
        <f>VLOOKUP($BO2,'5.1 Утв норм затрат'!$A$6:$F$19,5,0)</f>
        <v>0</v>
      </c>
      <c r="BR32" s="157">
        <f t="shared" ref="BR32:BR34" si="120">ROUND(BQ32*BP32,2)</f>
        <v>0</v>
      </c>
      <c r="BS32" s="158"/>
      <c r="BT32" s="156">
        <v>0.3</v>
      </c>
      <c r="BU32" s="156"/>
      <c r="BV32" s="157">
        <f>VLOOKUP($BT2,'5.1 Утв норм затрат'!$A$6:$F$21,5,0)</f>
        <v>0</v>
      </c>
      <c r="BW32" s="157">
        <f t="shared" ref="BW32:BW34" si="121">ROUND(BV32*BU32,2)</f>
        <v>0</v>
      </c>
      <c r="BX32" s="158"/>
      <c r="BY32" s="156">
        <v>0.3</v>
      </c>
      <c r="BZ32" s="156"/>
      <c r="CA32" s="157"/>
      <c r="CB32" s="157">
        <f t="shared" ref="CB32:CB34" si="122">ROUND(CA32*BZ32,2)</f>
        <v>0</v>
      </c>
      <c r="CC32" s="158"/>
    </row>
    <row r="33" spans="1:81" s="165" customFormat="1" ht="120">
      <c r="A33" s="155" t="s">
        <v>130</v>
      </c>
      <c r="B33" s="156">
        <v>0.35</v>
      </c>
      <c r="C33" s="156"/>
      <c r="D33" s="157"/>
      <c r="E33" s="157"/>
      <c r="F33" s="158"/>
      <c r="G33" s="156">
        <v>0.35</v>
      </c>
      <c r="H33" s="156">
        <f>ROUND(G33*100%/35%,5)</f>
        <v>1</v>
      </c>
      <c r="I33" s="157">
        <f>VLOOKUP($G2,'5.2 разм инф'!$A$6:$E$19,5,0)</f>
        <v>5</v>
      </c>
      <c r="J33" s="157">
        <f t="shared" si="108"/>
        <v>5</v>
      </c>
      <c r="K33" s="158"/>
      <c r="L33" s="156">
        <v>0.35</v>
      </c>
      <c r="M33" s="156"/>
      <c r="N33" s="157"/>
      <c r="O33" s="157">
        <f t="shared" si="109"/>
        <v>0</v>
      </c>
      <c r="P33" s="158"/>
      <c r="Q33" s="156">
        <v>0.35</v>
      </c>
      <c r="R33" s="156"/>
      <c r="S33" s="157">
        <v>0</v>
      </c>
      <c r="T33" s="157">
        <f t="shared" si="110"/>
        <v>0</v>
      </c>
      <c r="U33" s="158"/>
      <c r="V33" s="156">
        <v>0.35</v>
      </c>
      <c r="W33" s="156"/>
      <c r="X33" s="157">
        <v>0</v>
      </c>
      <c r="Y33" s="157">
        <f t="shared" si="111"/>
        <v>0</v>
      </c>
      <c r="Z33" s="158"/>
      <c r="AA33" s="156">
        <v>0.35</v>
      </c>
      <c r="AB33" s="156">
        <v>0.35</v>
      </c>
      <c r="AC33" s="157">
        <f>VLOOKUP($AA2,'5.2 разм инф'!$A$6:$E$19,5,0)</f>
        <v>5</v>
      </c>
      <c r="AD33" s="157">
        <f t="shared" si="112"/>
        <v>1.75</v>
      </c>
      <c r="AE33" s="158"/>
      <c r="AF33" s="156">
        <v>0.35</v>
      </c>
      <c r="AG33" s="156">
        <v>0.35</v>
      </c>
      <c r="AH33" s="157">
        <f>VLOOKUP($AF2,'5.2 разм инф'!$A$6:$E$19,5,0)</f>
        <v>5</v>
      </c>
      <c r="AI33" s="157">
        <f t="shared" si="113"/>
        <v>1.75</v>
      </c>
      <c r="AJ33" s="158"/>
      <c r="AK33" s="156">
        <v>0.35</v>
      </c>
      <c r="AL33" s="156"/>
      <c r="AM33" s="157">
        <f>VLOOKUP($AK2,'5.2 разм инф'!$A$6:$E$19,5,0)</f>
        <v>0</v>
      </c>
      <c r="AN33" s="157">
        <f t="shared" si="114"/>
        <v>0</v>
      </c>
      <c r="AO33" s="158"/>
      <c r="AP33" s="156">
        <v>0.35</v>
      </c>
      <c r="AQ33" s="156">
        <v>0.35</v>
      </c>
      <c r="AR33" s="157">
        <f>VLOOKUP($AP2,'5.2 разм инф'!$A$6:$E$19,5,0)</f>
        <v>5</v>
      </c>
      <c r="AS33" s="157">
        <f t="shared" si="115"/>
        <v>1.75</v>
      </c>
      <c r="AT33" s="158"/>
      <c r="AU33" s="156">
        <v>0.35</v>
      </c>
      <c r="AV33" s="156"/>
      <c r="AW33" s="157">
        <f>VLOOKUP($AU2,'5.2 разм инф'!$A$6:$E$19,5,0)</f>
        <v>0</v>
      </c>
      <c r="AX33" s="157">
        <f t="shared" si="116"/>
        <v>0</v>
      </c>
      <c r="AY33" s="158"/>
      <c r="AZ33" s="156">
        <v>0.35</v>
      </c>
      <c r="BA33" s="156"/>
      <c r="BB33" s="157">
        <f>VLOOKUP($AZ2,'5.2 разм инф'!$A$6:$E$19,5,0)</f>
        <v>0</v>
      </c>
      <c r="BC33" s="157">
        <f t="shared" si="117"/>
        <v>0</v>
      </c>
      <c r="BD33" s="158"/>
      <c r="BE33" s="156">
        <v>0.35</v>
      </c>
      <c r="BF33" s="156"/>
      <c r="BG33" s="157">
        <f>VLOOKUP($BE2,'5.2 разм инф'!$A$6:$E$19,5,0)</f>
        <v>0</v>
      </c>
      <c r="BH33" s="157">
        <f t="shared" si="118"/>
        <v>0</v>
      </c>
      <c r="BI33" s="158"/>
      <c r="BJ33" s="156">
        <v>0.35</v>
      </c>
      <c r="BK33" s="156">
        <v>0.35</v>
      </c>
      <c r="BL33" s="157">
        <f>VLOOKUP($BJ2,'5.2 разм инф'!$A$6:$E$19,5,0)</f>
        <v>5</v>
      </c>
      <c r="BM33" s="157">
        <f t="shared" si="119"/>
        <v>1.75</v>
      </c>
      <c r="BN33" s="158"/>
      <c r="BO33" s="156">
        <v>0.35</v>
      </c>
      <c r="BP33" s="156"/>
      <c r="BQ33" s="157">
        <f>VLOOKUP($BO2,'5.2 разм инф'!$A$6:$E$19,5,0)</f>
        <v>0</v>
      </c>
      <c r="BR33" s="157">
        <f t="shared" si="120"/>
        <v>0</v>
      </c>
      <c r="BS33" s="158"/>
      <c r="BT33" s="156">
        <v>0.35</v>
      </c>
      <c r="BU33" s="156">
        <f>ROUND(BT33*100%/35%,5)</f>
        <v>1</v>
      </c>
      <c r="BV33" s="157">
        <f>VLOOKUP($BT2,'5.2 разм инф'!$A$6:$E$19,5,0)</f>
        <v>5</v>
      </c>
      <c r="BW33" s="157">
        <f t="shared" si="121"/>
        <v>5</v>
      </c>
      <c r="BX33" s="158"/>
      <c r="BY33" s="156">
        <v>0.35</v>
      </c>
      <c r="BZ33" s="156"/>
      <c r="CA33" s="157"/>
      <c r="CB33" s="157">
        <f t="shared" si="122"/>
        <v>0</v>
      </c>
      <c r="CC33" s="158"/>
    </row>
    <row r="34" spans="1:81" s="165" customFormat="1" ht="60">
      <c r="A34" s="155" t="s">
        <v>131</v>
      </c>
      <c r="B34" s="156">
        <v>0.35</v>
      </c>
      <c r="C34" s="156"/>
      <c r="D34" s="157"/>
      <c r="E34" s="157"/>
      <c r="F34" s="158"/>
      <c r="G34" s="156">
        <v>0.35</v>
      </c>
      <c r="H34" s="156"/>
      <c r="I34" s="157">
        <f>VLOOKUP($G2,'5.3 Доля ост-в'!A6:F19,5,6)</f>
        <v>0</v>
      </c>
      <c r="J34" s="157">
        <f t="shared" si="108"/>
        <v>0</v>
      </c>
      <c r="K34" s="158"/>
      <c r="L34" s="156">
        <v>0.35</v>
      </c>
      <c r="M34" s="156"/>
      <c r="N34" s="157"/>
      <c r="O34" s="157">
        <f t="shared" si="109"/>
        <v>0</v>
      </c>
      <c r="P34" s="158"/>
      <c r="Q34" s="156">
        <v>0.35</v>
      </c>
      <c r="R34" s="156"/>
      <c r="S34" s="157">
        <v>0</v>
      </c>
      <c r="T34" s="157">
        <f t="shared" si="110"/>
        <v>0</v>
      </c>
      <c r="U34" s="158"/>
      <c r="V34" s="156">
        <v>0.35</v>
      </c>
      <c r="W34" s="156"/>
      <c r="X34" s="157">
        <v>0</v>
      </c>
      <c r="Y34" s="157">
        <f t="shared" si="111"/>
        <v>0</v>
      </c>
      <c r="Z34" s="158"/>
      <c r="AA34" s="156">
        <v>0.35</v>
      </c>
      <c r="AB34" s="156">
        <v>0.35</v>
      </c>
      <c r="AC34" s="157">
        <f>VLOOKUP($AA2,'5.3 Доля ост-в'!$A$6:$F$19,6,0)</f>
        <v>5</v>
      </c>
      <c r="AD34" s="157">
        <f t="shared" si="112"/>
        <v>1.75</v>
      </c>
      <c r="AE34" s="158"/>
      <c r="AF34" s="156">
        <v>0.35</v>
      </c>
      <c r="AG34" s="156">
        <v>0.35</v>
      </c>
      <c r="AH34" s="157">
        <f>VLOOKUP($AF2,'5.3 Доля ост-в'!$A$6:$F$19,6,0)</f>
        <v>5</v>
      </c>
      <c r="AI34" s="157">
        <f t="shared" si="113"/>
        <v>1.75</v>
      </c>
      <c r="AJ34" s="158"/>
      <c r="AK34" s="156">
        <v>0.35</v>
      </c>
      <c r="AL34" s="156"/>
      <c r="AM34" s="157">
        <f>VLOOKUP($AK2,'5.3 Доля ост-в'!$A$6:$F$19,6,0)</f>
        <v>0</v>
      </c>
      <c r="AN34" s="157">
        <f t="shared" si="114"/>
        <v>0</v>
      </c>
      <c r="AO34" s="158"/>
      <c r="AP34" s="156">
        <v>0.35</v>
      </c>
      <c r="AQ34" s="156">
        <v>0.35</v>
      </c>
      <c r="AR34" s="157">
        <f>VLOOKUP($AP2,'5.3 Доля ост-в'!$A$6:$F$19,6,0)</f>
        <v>5</v>
      </c>
      <c r="AS34" s="157">
        <f t="shared" si="115"/>
        <v>1.75</v>
      </c>
      <c r="AT34" s="158"/>
      <c r="AU34" s="156">
        <v>0.35</v>
      </c>
      <c r="AV34" s="156"/>
      <c r="AW34" s="157">
        <f>VLOOKUP($AU2,'5.3 Доля ост-в'!$A$6:$F$19,6,0)</f>
        <v>0</v>
      </c>
      <c r="AX34" s="157">
        <f t="shared" si="116"/>
        <v>0</v>
      </c>
      <c r="AY34" s="158"/>
      <c r="AZ34" s="156">
        <v>0.35</v>
      </c>
      <c r="BA34" s="156"/>
      <c r="BB34" s="157">
        <f>VLOOKUP($AZ2,'5.3 Доля ост-в'!$A$6:$F$19,6,0)</f>
        <v>0</v>
      </c>
      <c r="BC34" s="157">
        <f t="shared" si="117"/>
        <v>0</v>
      </c>
      <c r="BD34" s="158"/>
      <c r="BE34" s="156">
        <v>0.35</v>
      </c>
      <c r="BF34" s="156"/>
      <c r="BG34" s="157">
        <f>VLOOKUP($BE2,'5.3 Доля ост-в'!$A$6:$F$19,6,0)</f>
        <v>0</v>
      </c>
      <c r="BH34" s="157">
        <f t="shared" si="118"/>
        <v>0</v>
      </c>
      <c r="BI34" s="158"/>
      <c r="BJ34" s="156">
        <v>0.35</v>
      </c>
      <c r="BK34" s="156">
        <v>0.35</v>
      </c>
      <c r="BL34" s="157">
        <f>VLOOKUP($BJ2,'5.3 Доля ост-в'!$A$6:$F$19,6,0)</f>
        <v>5</v>
      </c>
      <c r="BM34" s="157">
        <f t="shared" si="119"/>
        <v>1.75</v>
      </c>
      <c r="BN34" s="158"/>
      <c r="BO34" s="156">
        <v>0.35</v>
      </c>
      <c r="BP34" s="156"/>
      <c r="BQ34" s="157">
        <f>VLOOKUP($BO2,'5.3 Доля ост-в'!$A$6:$F$19,6,0)</f>
        <v>0</v>
      </c>
      <c r="BR34" s="157">
        <f t="shared" si="120"/>
        <v>0</v>
      </c>
      <c r="BS34" s="158"/>
      <c r="BT34" s="156">
        <v>0.35</v>
      </c>
      <c r="BU34" s="156"/>
      <c r="BV34" s="157">
        <f>VLOOKUP($BT2,'5.3 Доля ост-в'!$A$6:$F$21,6,0)</f>
        <v>0</v>
      </c>
      <c r="BW34" s="157">
        <f t="shared" si="121"/>
        <v>0</v>
      </c>
      <c r="BX34" s="158"/>
      <c r="BY34" s="156">
        <v>0.35</v>
      </c>
      <c r="BZ34" s="156"/>
      <c r="CA34" s="157"/>
      <c r="CB34" s="157">
        <f t="shared" si="122"/>
        <v>0</v>
      </c>
      <c r="CC34" s="158"/>
    </row>
    <row r="35" spans="1:81" s="168" customFormat="1" ht="14.25">
      <c r="A35" s="174" t="s">
        <v>132</v>
      </c>
      <c r="B35" s="175">
        <f>B4+B10+B22+B28+B31</f>
        <v>1.0000000000000002</v>
      </c>
      <c r="C35" s="176">
        <f>C4+C10+C22+C28+C31</f>
        <v>1</v>
      </c>
      <c r="D35" s="176"/>
      <c r="E35" s="176"/>
      <c r="F35" s="177">
        <f>F4+F10+F22+F28+F31</f>
        <v>3.32</v>
      </c>
      <c r="G35" s="175">
        <f>G4+G10+G22+G28+G31</f>
        <v>1.0000000000000002</v>
      </c>
      <c r="H35" s="176">
        <f>H4+H10+H22+H28+H31</f>
        <v>1.0000000000000002</v>
      </c>
      <c r="I35" s="176"/>
      <c r="J35" s="176"/>
      <c r="K35" s="177">
        <f>K4+K10+K22+K28+K31</f>
        <v>3.7600000000000002</v>
      </c>
      <c r="L35" s="175">
        <f>L4+L10+L22+L28+L31</f>
        <v>1.0000000000000002</v>
      </c>
      <c r="M35" s="176">
        <f>M4+M10+M22+M28+M31</f>
        <v>1</v>
      </c>
      <c r="N35" s="176"/>
      <c r="O35" s="176"/>
      <c r="P35" s="177">
        <f>P4+P10+P22+P28+P31</f>
        <v>3.0500000000000003</v>
      </c>
      <c r="Q35" s="175">
        <f>Q4+Q10+Q22+Q28+Q31</f>
        <v>1.0000000000000002</v>
      </c>
      <c r="R35" s="176">
        <f>R4+R10+R22+R28+R31</f>
        <v>1</v>
      </c>
      <c r="S35" s="176"/>
      <c r="T35" s="176"/>
      <c r="U35" s="177">
        <f>U4+U10+U22+U28+U31</f>
        <v>3.55</v>
      </c>
      <c r="V35" s="175">
        <f>V4+V10+V22+V28+V31</f>
        <v>1.0000000000000002</v>
      </c>
      <c r="W35" s="176">
        <f>W4+W10+W22+W28+W31</f>
        <v>1</v>
      </c>
      <c r="X35" s="176"/>
      <c r="Y35" s="176"/>
      <c r="Z35" s="177">
        <f>Z4+Z10+Z22+Z28+Z31</f>
        <v>3.6799999999999997</v>
      </c>
      <c r="AA35" s="175">
        <f>AA4+AA10+AA22+AA28+AA31</f>
        <v>1.0000000000000002</v>
      </c>
      <c r="AB35" s="176">
        <f>AB4+AB10+AB22+AB28+AB31</f>
        <v>1</v>
      </c>
      <c r="AC35" s="176"/>
      <c r="AD35" s="176"/>
      <c r="AE35" s="177">
        <f>AE4+AE10+AE22+AE28+AE31</f>
        <v>3.6399999999999997</v>
      </c>
      <c r="AF35" s="175">
        <f>AF4+AF10+AF22+AF28+AF31</f>
        <v>1.0000000000000002</v>
      </c>
      <c r="AG35" s="176">
        <f>AG4+AG10+AG22+AG28+AG31</f>
        <v>1</v>
      </c>
      <c r="AH35" s="176"/>
      <c r="AI35" s="176"/>
      <c r="AJ35" s="177">
        <f>AJ4+AJ10+AJ22+AJ28+AJ31</f>
        <v>3.51</v>
      </c>
      <c r="AK35" s="175">
        <f>AK4+AK10+AK22+AK28+AK31</f>
        <v>1.0000000000000002</v>
      </c>
      <c r="AL35" s="176">
        <f>AL4+AL10+AL22+AL28+AL31</f>
        <v>0.99999000000000005</v>
      </c>
      <c r="AM35" s="176"/>
      <c r="AN35" s="176"/>
      <c r="AO35" s="177">
        <f>AO4+AO10+AO22+AO28+AO31</f>
        <v>4.42</v>
      </c>
      <c r="AP35" s="175">
        <f>AP4+AP10+AP22+AP28+AP31</f>
        <v>1.0000000000000002</v>
      </c>
      <c r="AQ35" s="176">
        <f>AQ4+AQ10+AQ22+AQ28+AQ31</f>
        <v>1</v>
      </c>
      <c r="AR35" s="176"/>
      <c r="AS35" s="176"/>
      <c r="AT35" s="177">
        <f>AT4+AT10+AT22+AT28+AT31</f>
        <v>3.59</v>
      </c>
      <c r="AU35" s="175">
        <f>AU4+AU10+AU22+AU28+AU31</f>
        <v>1.0000000000000002</v>
      </c>
      <c r="AV35" s="176">
        <f>AV4+AV10+AV22+AV28+AV31</f>
        <v>1</v>
      </c>
      <c r="AW35" s="176"/>
      <c r="AX35" s="176"/>
      <c r="AY35" s="177">
        <f>AY4+AY10+AY22+AY28+AY31</f>
        <v>3.7600000000000002</v>
      </c>
      <c r="AZ35" s="175">
        <f>AZ4+AZ10+AZ22+AZ28+AZ31</f>
        <v>1.0000000000000002</v>
      </c>
      <c r="BA35" s="176">
        <f>BA4+BA10+BA22+BA28+BA31</f>
        <v>1</v>
      </c>
      <c r="BB35" s="176"/>
      <c r="BC35" s="176"/>
      <c r="BD35" s="177">
        <f>BD4+BD10+BD22+BD28+BD31</f>
        <v>4.08</v>
      </c>
      <c r="BE35" s="175">
        <f>BE4+BE10+BE22+BE28+BE31</f>
        <v>1.0000000000000002</v>
      </c>
      <c r="BF35" s="176">
        <f>BF4+BF10+BF22+BF28+BF31</f>
        <v>1</v>
      </c>
      <c r="BG35" s="176"/>
      <c r="BH35" s="176"/>
      <c r="BI35" s="177">
        <f>BI4+BI10+BI22+BI28+BI31</f>
        <v>3.7199999999999998</v>
      </c>
      <c r="BJ35" s="175">
        <f>BJ4+BJ10+BJ22+BJ28+BJ31</f>
        <v>1.0000000000000002</v>
      </c>
      <c r="BK35" s="176">
        <f>BK4+BK10+BK22+BK28+BK31</f>
        <v>1.0000000000000002</v>
      </c>
      <c r="BL35" s="176"/>
      <c r="BM35" s="176"/>
      <c r="BN35" s="177">
        <f>BN4+BN10+BN22+BN28+BN31</f>
        <v>3.5799999999999996</v>
      </c>
      <c r="BO35" s="175">
        <f>BO4+BO10+BO22+BO28+BO31</f>
        <v>1.0000000000000002</v>
      </c>
      <c r="BP35" s="176">
        <f>BP4+BP10+BP22+BP28+BP31</f>
        <v>0.99999000000000005</v>
      </c>
      <c r="BQ35" s="176"/>
      <c r="BR35" s="176"/>
      <c r="BS35" s="177">
        <f>BS4+BS10+BS22+BS28+BS31</f>
        <v>2.17</v>
      </c>
      <c r="BT35" s="175">
        <f>BT4+BT10+BT22+BT28+BT31</f>
        <v>1.0000000000000002</v>
      </c>
      <c r="BU35" s="176">
        <f>BU4+BU10+BU22+BU28+BU31</f>
        <v>1.0000000000000002</v>
      </c>
      <c r="BV35" s="176"/>
      <c r="BW35" s="176"/>
      <c r="BX35" s="177">
        <f>BX4+BX10+BX22+BX28+BX31</f>
        <v>3.79</v>
      </c>
      <c r="BY35" s="175">
        <f>BY4+BY10+BY22+BY28+BY31</f>
        <v>1.0000000000000002</v>
      </c>
      <c r="BZ35" s="176">
        <f>BZ4+BZ10+BZ22+BZ28+BZ31</f>
        <v>1</v>
      </c>
      <c r="CA35" s="176"/>
      <c r="CB35" s="176"/>
      <c r="CC35" s="177">
        <f>CC4+CC10+CC22+CC28+CC31</f>
        <v>3.22</v>
      </c>
    </row>
    <row r="37" spans="1:81">
      <c r="AK37" s="138">
        <f>15+4</f>
        <v>19</v>
      </c>
    </row>
    <row r="38" spans="1:81">
      <c r="AK38" s="138">
        <f>100-19</f>
        <v>81</v>
      </c>
    </row>
  </sheetData>
  <sheetProtection formatCells="0" formatColumns="0" formatRows="0" insertColumns="0" insertRows="0" insertHyperlinks="0" deleteColumns="0" deleteRows="0" sort="0" autoFilter="0" pivotTables="0"/>
  <autoFilter ref="A1:A38"/>
  <mergeCells count="16"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Y2:CC2"/>
    <mergeCell ref="AZ2:BD2"/>
    <mergeCell ref="BE2:BI2"/>
    <mergeCell ref="BJ2:BN2"/>
    <mergeCell ref="BO2:BS2"/>
    <mergeCell ref="BT2:BX2"/>
  </mergeCells>
  <pageMargins left="0.43307086614173229" right="0.19685039370078738" top="0.35433070866141736" bottom="0.19685039370078738" header="0.15748031496062992" footer="0.15748031496062992"/>
  <pageSetup paperSize="9" scale="71" fitToWidth="14" fitToHeight="14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tabColor rgb="FF00B050"/>
  </sheetPr>
  <dimension ref="A1:I29"/>
  <sheetViews>
    <sheetView topLeftCell="A3" zoomScale="110" workbookViewId="0">
      <pane xSplit="1" ySplit="3" topLeftCell="B4" activePane="bottomRight" state="frozen"/>
      <selection activeCell="G22" sqref="G22"/>
      <selection pane="topRight" activeCell="A3" sqref="A3"/>
      <selection pane="bottomLeft" activeCell="A3" sqref="A3"/>
      <selection pane="bottomRight" activeCell="B4" sqref="B4"/>
    </sheetView>
  </sheetViews>
  <sheetFormatPr defaultRowHeight="15"/>
  <cols>
    <col min="1" max="1" width="8.42578125" style="46" customWidth="1"/>
    <col min="2" max="2" width="39.85546875" style="3" customWidth="1"/>
    <col min="3" max="3" width="51" style="3" customWidth="1"/>
    <col min="4" max="4" width="22" style="3" customWidth="1"/>
    <col min="5" max="5" width="21.28515625" style="3" customWidth="1"/>
    <col min="6" max="6" width="15.42578125" style="3" customWidth="1"/>
    <col min="7" max="7" width="13.140625" style="3" customWidth="1"/>
    <col min="8" max="8" width="9.140625" style="3"/>
    <col min="9" max="9" width="31.5703125" style="3" customWidth="1"/>
    <col min="10" max="16384" width="9.140625" style="3"/>
  </cols>
  <sheetData>
    <row r="1" spans="1:9" s="178" customFormat="1" ht="32.25" customHeight="1">
      <c r="A1" s="447" t="s">
        <v>101</v>
      </c>
      <c r="B1" s="447"/>
      <c r="C1" s="447"/>
      <c r="D1" s="447"/>
      <c r="E1" s="447"/>
      <c r="F1" s="447"/>
      <c r="G1" s="447"/>
    </row>
    <row r="2" spans="1:9" ht="19.5">
      <c r="A2" s="448" t="s">
        <v>133</v>
      </c>
      <c r="B2" s="448"/>
      <c r="C2" s="448"/>
      <c r="D2" s="448"/>
      <c r="E2" s="448"/>
      <c r="F2" s="448"/>
      <c r="G2" s="448"/>
    </row>
    <row r="4" spans="1:9">
      <c r="A4" s="139"/>
      <c r="G4" s="181" t="s">
        <v>134</v>
      </c>
      <c r="I4" s="3">
        <v>20</v>
      </c>
    </row>
    <row r="5" spans="1:9" ht="161.25" customHeight="1">
      <c r="A5" s="47" t="s">
        <v>35</v>
      </c>
      <c r="B5" s="47" t="s">
        <v>2</v>
      </c>
      <c r="C5" s="47" t="s">
        <v>135</v>
      </c>
      <c r="D5" s="47" t="s">
        <v>136</v>
      </c>
      <c r="E5" s="47" t="s">
        <v>137</v>
      </c>
      <c r="F5" s="47" t="s">
        <v>138</v>
      </c>
      <c r="G5" s="47" t="s">
        <v>139</v>
      </c>
      <c r="I5" s="46" t="s">
        <v>140</v>
      </c>
    </row>
    <row r="6" spans="1:9">
      <c r="A6" s="15">
        <v>600</v>
      </c>
      <c r="B6" s="15" t="s">
        <v>51</v>
      </c>
      <c r="C6" s="182">
        <v>24</v>
      </c>
      <c r="D6" s="183">
        <v>55976453.420000002</v>
      </c>
      <c r="E6" s="183">
        <v>18812786981.150002</v>
      </c>
      <c r="F6" s="184">
        <f t="shared" ref="F6:F21" si="0">ROUND(C6*(1-(D6/E6)),2)</f>
        <v>23.93</v>
      </c>
      <c r="G6" s="184">
        <v>3</v>
      </c>
      <c r="H6" s="162" t="str">
        <f>LOOKUP(F6,{0,3,5,7,9.99,10,13,19.99,20,25,29.99,30,37,39.99,40,45,49.99,50,53,57,99.99},{"5+","5","5-","4+","4","4-","3+","3","3-","2+","2","2-","1+","1","1-","0"})</f>
        <v>3-</v>
      </c>
    </row>
    <row r="7" spans="1:9" ht="45">
      <c r="A7" s="15">
        <v>609</v>
      </c>
      <c r="B7" s="15" t="s">
        <v>37</v>
      </c>
      <c r="C7" s="182">
        <v>47</v>
      </c>
      <c r="D7" s="185">
        <v>338870705</v>
      </c>
      <c r="E7" s="183">
        <v>18812786981.150002</v>
      </c>
      <c r="F7" s="184">
        <f t="shared" si="0"/>
        <v>46.15</v>
      </c>
      <c r="G7" s="184">
        <v>1</v>
      </c>
      <c r="H7" s="162" t="str">
        <f>LOOKUP(F7,{0,3,5,7,9.99,10,13,19.99,20,25,29.99,30,37,39.99,40,45,49.99,50,53,57,99.99},{"5+","5","5-","4+","4","4-","3+","3","3-","2+","2","2-","1+","1","1-","0"})</f>
        <v>0</v>
      </c>
    </row>
    <row r="8" spans="1:9" ht="30">
      <c r="A8" s="15">
        <v>643</v>
      </c>
      <c r="B8" s="15" t="s">
        <v>52</v>
      </c>
      <c r="C8" s="182">
        <v>24</v>
      </c>
      <c r="D8" s="185">
        <v>237092765.38999999</v>
      </c>
      <c r="E8" s="183">
        <v>18812786981.150002</v>
      </c>
      <c r="F8" s="184">
        <f t="shared" si="0"/>
        <v>23.7</v>
      </c>
      <c r="G8" s="184">
        <v>3</v>
      </c>
      <c r="H8" s="162" t="str">
        <f>LOOKUP(F8,{0,3,5,7,9.99,10,13,19.99,20,25,29.99,30,37,39.99,40,45,49.99,50,70,80,100},{"5+","5","5-","4+","4","4-","3+","3","3-","2+","2","2-","1+","1","1-","0"})</f>
        <v>3-</v>
      </c>
    </row>
    <row r="9" spans="1:9" ht="30">
      <c r="A9" s="15">
        <v>604</v>
      </c>
      <c r="B9" s="15" t="s">
        <v>49</v>
      </c>
      <c r="C9" s="182">
        <v>16</v>
      </c>
      <c r="D9" s="185">
        <v>409265921.32999998</v>
      </c>
      <c r="E9" s="183">
        <v>18812786981.150002</v>
      </c>
      <c r="F9" s="184">
        <f t="shared" si="0"/>
        <v>15.65</v>
      </c>
      <c r="G9" s="184">
        <v>4</v>
      </c>
      <c r="H9" s="162" t="str">
        <f>LOOKUP(F9,{0,3,5,7,9.99,10,13,19.99,20,25,29.99,30,37,39.99,40,45,49.99,50,53,57,99.99},{"5+","5","5-","4+","4","4-","3+","3","3-","2+","2","2-","1+","1","1-","0"})</f>
        <v>3+</v>
      </c>
    </row>
    <row r="10" spans="1:9" ht="30">
      <c r="A10" s="15">
        <v>617</v>
      </c>
      <c r="B10" s="15" t="s">
        <v>42</v>
      </c>
      <c r="C10" s="182">
        <v>59</v>
      </c>
      <c r="D10" s="185">
        <v>200922573.59999999</v>
      </c>
      <c r="E10" s="183">
        <v>18812786981.150002</v>
      </c>
      <c r="F10" s="184">
        <f t="shared" si="0"/>
        <v>58.37</v>
      </c>
      <c r="G10" s="184">
        <v>0</v>
      </c>
      <c r="H10" s="162" t="e">
        <f>LOOKUP(F10,{0,3,5,7,9.99,10,13,19.99,20,25,29.99,30,37,39.99,40,45,49.99,50,53,57,99.99},{"5+","5","5-","4+","4","4-","3+","3","3-","2+","2","2-","1+","1","1-","0"})</f>
        <v>#N/A</v>
      </c>
    </row>
    <row r="11" spans="1:9" ht="30">
      <c r="A11" s="15">
        <v>602</v>
      </c>
      <c r="B11" s="15" t="s">
        <v>53</v>
      </c>
      <c r="C11" s="182">
        <v>56</v>
      </c>
      <c r="D11" s="185">
        <v>6262252639.46</v>
      </c>
      <c r="E11" s="183">
        <v>18812786981.150002</v>
      </c>
      <c r="F11" s="184">
        <f t="shared" si="0"/>
        <v>37.36</v>
      </c>
      <c r="G11" s="184">
        <v>2</v>
      </c>
      <c r="H11" s="162" t="str">
        <f>LOOKUP(F11,{0,3,5,7,9.99,10,13,19.99,20,25,29.99,30,37,39.99,40,45,49.99,50,53,57,99.99},{"5+","5","5-","4+","4","4-","3+","3","3-","2+","2","2-","1+","1","1-","0"})</f>
        <v>1+</v>
      </c>
    </row>
    <row r="12" spans="1:9" ht="45">
      <c r="A12" s="15">
        <v>607</v>
      </c>
      <c r="B12" s="15" t="s">
        <v>50</v>
      </c>
      <c r="C12" s="182">
        <v>41</v>
      </c>
      <c r="D12" s="185">
        <v>773248544.88</v>
      </c>
      <c r="E12" s="183">
        <v>18812786981.150002</v>
      </c>
      <c r="F12" s="184">
        <f t="shared" si="0"/>
        <v>39.31</v>
      </c>
      <c r="G12" s="184">
        <v>2</v>
      </c>
      <c r="H12" s="162" t="str">
        <f>LOOKUP(F12,{0,3,5,7,9.99,10,13,19.99,20,25,29.99,30,37,39.99,40,45,49.99,50,53,57,99.99},{"5+","5","5-","4+","4","4-","3+","3","3-","2+","2","2-","1+","1","1-","0"})</f>
        <v>1+</v>
      </c>
    </row>
    <row r="13" spans="1:9" ht="30">
      <c r="A13" s="15">
        <v>618</v>
      </c>
      <c r="B13" s="15" t="s">
        <v>38</v>
      </c>
      <c r="C13" s="182">
        <v>9</v>
      </c>
      <c r="D13" s="185">
        <v>4031392433.4699998</v>
      </c>
      <c r="E13" s="183">
        <v>18812786981.150002</v>
      </c>
      <c r="F13" s="184">
        <f t="shared" si="0"/>
        <v>7.07</v>
      </c>
      <c r="G13" s="184">
        <v>5</v>
      </c>
      <c r="H13" s="162" t="str">
        <f>LOOKUP(F13,{0,3,5,7,9.99,10,13,19.99,20,25,29.99,30,37,39.99,40,45,49.99,50,53,57,99.99},{"5+","5","5-","4+","4","4-","3+","3","3-","2+","2","2-","1+","1","1-","0"})</f>
        <v>4+</v>
      </c>
    </row>
    <row r="14" spans="1:9" ht="30">
      <c r="A14" s="15">
        <v>619</v>
      </c>
      <c r="B14" s="15" t="s">
        <v>44</v>
      </c>
      <c r="C14" s="182">
        <v>66</v>
      </c>
      <c r="D14" s="185">
        <v>275168648.26999998</v>
      </c>
      <c r="E14" s="183">
        <v>18812786981.150002</v>
      </c>
      <c r="F14" s="184">
        <f t="shared" si="0"/>
        <v>65.03</v>
      </c>
      <c r="G14" s="184">
        <v>0</v>
      </c>
      <c r="H14" s="162" t="e">
        <f>LOOKUP(F14,{0,3,5,7,9.99,10,13,19.99,20,25,29.99,30,37,39.99,40,45,49.99,50,53,57,99.99},{"5+","5","5-","4+","4","4-","3+","3","3-","2+","2","2-","1+","1","1-","0"})</f>
        <v>#N/A</v>
      </c>
    </row>
    <row r="15" spans="1:9" ht="30">
      <c r="A15" s="15">
        <v>606</v>
      </c>
      <c r="B15" s="15" t="s">
        <v>46</v>
      </c>
      <c r="C15" s="182">
        <v>23</v>
      </c>
      <c r="D15" s="185">
        <v>222857183.03</v>
      </c>
      <c r="E15" s="183">
        <v>18812786981.150002</v>
      </c>
      <c r="F15" s="184">
        <f t="shared" si="0"/>
        <v>22.73</v>
      </c>
      <c r="G15" s="184">
        <v>3</v>
      </c>
      <c r="H15" s="162" t="str">
        <f>LOOKUP(F15,{0,3,5,7,9.99,10,13,19.99,20,25,29.99,30,37,39.99,40,45,49.99,50,53,57,99.99},{"5+","5","5-","4+","4","4-","3+","3","3-","2+","2","2-","1+","1","1-","0"})</f>
        <v>3-</v>
      </c>
    </row>
    <row r="16" spans="1:9" ht="30">
      <c r="A16" s="15">
        <v>621</v>
      </c>
      <c r="B16" s="15" t="s">
        <v>54</v>
      </c>
      <c r="C16" s="182">
        <v>38</v>
      </c>
      <c r="D16" s="185">
        <v>223406143.77000001</v>
      </c>
      <c r="E16" s="183">
        <v>18812786981.150002</v>
      </c>
      <c r="F16" s="184">
        <f t="shared" si="0"/>
        <v>37.549999999999997</v>
      </c>
      <c r="G16" s="184">
        <v>2</v>
      </c>
      <c r="H16" s="162" t="str">
        <f>LOOKUP(F16,{0,3,5,7,9.99,10,13,19.99,20,25,29.99,30,37,39.99,40,45,49.99,50,53,57,99.99},{"5+","5","5-","4+","4","4-","3+","3","3-","2+","2","2-","1+","1","1-","0"})</f>
        <v>1+</v>
      </c>
    </row>
    <row r="17" spans="1:8">
      <c r="A17" s="15">
        <v>601</v>
      </c>
      <c r="B17" s="15" t="s">
        <v>13</v>
      </c>
      <c r="C17" s="182">
        <v>38</v>
      </c>
      <c r="D17" s="185">
        <v>383358524.26999998</v>
      </c>
      <c r="E17" s="183">
        <v>18812786981.150002</v>
      </c>
      <c r="F17" s="184">
        <f t="shared" si="0"/>
        <v>37.229999999999997</v>
      </c>
      <c r="G17" s="184">
        <v>2</v>
      </c>
      <c r="H17" s="162" t="str">
        <f>LOOKUP(F17,{0,3,5,7,9.99,10,13,15,19.99,20,25,27,29.99,30,35,37,39.99,40,45,49.99,50,53,59.99,99.99},{"5+","5","5-","4+","4","4-","3+","3","3-","2+","2","2-","1+","1","1-","0"})</f>
        <v>0</v>
      </c>
    </row>
    <row r="18" spans="1:8" ht="45">
      <c r="A18" s="15">
        <v>605</v>
      </c>
      <c r="B18" s="15" t="s">
        <v>45</v>
      </c>
      <c r="C18" s="182">
        <v>123</v>
      </c>
      <c r="D18" s="185">
        <v>2074329803.05</v>
      </c>
      <c r="E18" s="183">
        <v>18812786981.150002</v>
      </c>
      <c r="F18" s="184">
        <f t="shared" si="0"/>
        <v>109.44</v>
      </c>
      <c r="G18" s="184">
        <v>0</v>
      </c>
      <c r="H18" s="162" t="e">
        <f>LOOKUP(F18,{0,3,5,7,9.99,10,13,19.99,20,25,29.99,30,37,39.99,40,45,49.99,50,53,57,99.99},{"5+","5","5-","4+","4","4-","3+","3","3-","2+","2","2-","1+","1","1-","0"})</f>
        <v>#N/A</v>
      </c>
    </row>
    <row r="19" spans="1:8" ht="30">
      <c r="A19" s="15">
        <v>611</v>
      </c>
      <c r="B19" s="15" t="s">
        <v>47</v>
      </c>
      <c r="C19" s="182">
        <v>55</v>
      </c>
      <c r="D19" s="185">
        <v>3168800803.3899999</v>
      </c>
      <c r="E19" s="183">
        <v>18812786981.150002</v>
      </c>
      <c r="F19" s="184">
        <f t="shared" si="0"/>
        <v>45.74</v>
      </c>
      <c r="G19" s="184">
        <v>1</v>
      </c>
      <c r="H19" s="162" t="str">
        <f>LOOKUP(F19,{0,3,5,7,9.99,10,13,19.99,20,25,29.99,30,37,39.99,40,45,49.99,50,53,57,99.99},{"5+","5","5-","4+","4","4-","3+","3","3-","2+","2","2-","1+","1","1-","0"})</f>
        <v>0</v>
      </c>
    </row>
    <row r="20" spans="1:8" ht="45">
      <c r="A20" s="15">
        <v>624</v>
      </c>
      <c r="B20" s="15" t="s">
        <v>40</v>
      </c>
      <c r="C20" s="182">
        <v>69</v>
      </c>
      <c r="D20" s="185">
        <v>130509349.63</v>
      </c>
      <c r="E20" s="183">
        <v>18812786981.150002</v>
      </c>
      <c r="F20" s="184">
        <f t="shared" si="0"/>
        <v>68.52</v>
      </c>
      <c r="G20" s="184">
        <v>0</v>
      </c>
      <c r="H20" s="162" t="e">
        <f>LOOKUP(F20,{0,3,5,7,9.99,10,13,15,19.99,20,25,27,29.99,30,35,37,39.99,40,45,49.99,50,53,59.99,99.99},{"5+","5","5-","4+","4","4-","3+","3","3-","2+","2","2-","1+","1","1-","0"})</f>
        <v>#N/A</v>
      </c>
    </row>
    <row r="21" spans="1:8" ht="30">
      <c r="A21" s="15">
        <v>620</v>
      </c>
      <c r="B21" s="15" t="s">
        <v>48</v>
      </c>
      <c r="C21" s="182">
        <v>13</v>
      </c>
      <c r="D21" s="186">
        <v>25334489.190000001</v>
      </c>
      <c r="E21" s="183">
        <v>18812786981.150002</v>
      </c>
      <c r="F21" s="184">
        <f t="shared" si="0"/>
        <v>12.98</v>
      </c>
      <c r="G21" s="184">
        <v>4</v>
      </c>
      <c r="H21" s="162" t="str">
        <f>LOOKUP(F21,{0,3,5,7,9.99,10,13,19.99,20,25,29.99,30,37,39.99,40,45,49.99,50,53,57,99.99},{"5+","5","5-","4+","4","4-","3+","3","3-","2+","2","2-","1+","1","1-","0"})</f>
        <v>4-</v>
      </c>
    </row>
    <row r="22" spans="1:8">
      <c r="A22" s="51"/>
      <c r="B22" s="51"/>
      <c r="C22" s="187"/>
      <c r="D22" s="187"/>
      <c r="E22" s="187"/>
      <c r="F22" s="138"/>
      <c r="G22" s="138"/>
    </row>
    <row r="23" spans="1:8">
      <c r="A23" s="51"/>
      <c r="B23" s="51" t="s">
        <v>23</v>
      </c>
      <c r="C23" s="187"/>
      <c r="D23" s="187"/>
      <c r="E23" s="187"/>
      <c r="F23" s="138">
        <f>SUBTOTAL(9,F6:F21)</f>
        <v>650.7600000000001</v>
      </c>
      <c r="G23" s="138"/>
    </row>
    <row r="24" spans="1:8" s="137" customFormat="1" ht="14.25">
      <c r="A24" s="54"/>
      <c r="B24" s="54" t="s">
        <v>24</v>
      </c>
      <c r="C24" s="188"/>
      <c r="D24" s="188"/>
      <c r="E24" s="188"/>
      <c r="F24" s="149">
        <f>ROUND(F23/16,2)</f>
        <v>40.67</v>
      </c>
      <c r="G24" s="149"/>
    </row>
    <row r="27" spans="1:8">
      <c r="C27" s="189">
        <f>SUM(C7:C20)</f>
        <v>664</v>
      </c>
      <c r="D27" s="189">
        <f>SUM(D6:D21)</f>
        <v>18812786981.150002</v>
      </c>
      <c r="E27" s="189">
        <f>SUM(E16:E20)</f>
        <v>94063934905.75</v>
      </c>
    </row>
    <row r="28" spans="1:8">
      <c r="C28" s="189">
        <v>481</v>
      </c>
      <c r="D28" s="189">
        <v>9996589901.8400002</v>
      </c>
    </row>
    <row r="29" spans="1:8">
      <c r="C29" s="189">
        <f>C27-C28</f>
        <v>183</v>
      </c>
      <c r="D29" s="189">
        <f>D27-D28</f>
        <v>8816197079.3100014</v>
      </c>
    </row>
  </sheetData>
  <sheetProtection formatCells="0" formatColumns="0" formatRows="0" insertColumns="0" insertRows="0" insertHyperlinks="0" deleteColumns="0" deleteRows="0" sort="0" autoFilter="0" pivotTables="0"/>
  <autoFilter ref="A5:G20"/>
  <sortState ref="A7:I21">
    <sortCondition ref="F6"/>
  </sortState>
  <mergeCells count="2">
    <mergeCell ref="A1:G1"/>
    <mergeCell ref="A2:G2"/>
  </mergeCells>
  <pageMargins left="0.35433070866141736" right="0.19685039370078738" top="0.74803149606299213" bottom="0.74803149606299213" header="0.31496062992125984" footer="0.31496062992125984"/>
  <pageSetup paperSize="9" scale="56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9">
    <tabColor rgb="FF00B050"/>
  </sheetPr>
  <dimension ref="A1:L29"/>
  <sheetViews>
    <sheetView topLeftCell="A4" zoomScale="120" workbookViewId="0">
      <pane ySplit="2" topLeftCell="A3" activePane="bottomLeft" state="frozen"/>
      <selection activeCell="F19" sqref="F19"/>
      <selection pane="bottomLeft" activeCell="A4" sqref="A4"/>
    </sheetView>
  </sheetViews>
  <sheetFormatPr defaultColWidth="9.140625" defaultRowHeight="15"/>
  <cols>
    <col min="1" max="1" width="8.42578125" style="46" customWidth="1"/>
    <col min="2" max="2" width="41.140625" style="3" customWidth="1"/>
    <col min="3" max="3" width="33.42578125" style="3" customWidth="1"/>
    <col min="4" max="4" width="29.42578125" style="3" customWidth="1"/>
    <col min="5" max="5" width="15.42578125" style="3" customWidth="1"/>
    <col min="6" max="7" width="13.140625" style="3" customWidth="1"/>
    <col min="8" max="8" width="9.140625" style="3"/>
    <col min="9" max="9" width="28.7109375" style="3" customWidth="1"/>
    <col min="10" max="10" width="15.28515625" style="3" bestFit="1" customWidth="1"/>
    <col min="11" max="16384" width="9.140625" style="3"/>
  </cols>
  <sheetData>
    <row r="1" spans="1:12" s="178" customFormat="1" ht="32.25" customHeight="1">
      <c r="A1" s="447" t="s">
        <v>101</v>
      </c>
      <c r="B1" s="447"/>
      <c r="C1" s="447"/>
      <c r="D1" s="447"/>
      <c r="E1" s="447"/>
      <c r="F1" s="447"/>
      <c r="G1" s="179"/>
    </row>
    <row r="2" spans="1:12" ht="19.5">
      <c r="A2" s="448" t="s">
        <v>141</v>
      </c>
      <c r="B2" s="448"/>
      <c r="C2" s="448"/>
      <c r="D2" s="448"/>
      <c r="E2" s="448"/>
      <c r="F2" s="448"/>
      <c r="G2" s="180"/>
    </row>
    <row r="3" spans="1:12">
      <c r="I3" s="190">
        <v>20</v>
      </c>
    </row>
    <row r="4" spans="1:12">
      <c r="A4" s="139"/>
      <c r="F4" s="181" t="s">
        <v>134</v>
      </c>
      <c r="G4" s="181"/>
    </row>
    <row r="5" spans="1:12" ht="105">
      <c r="A5" s="47" t="s">
        <v>35</v>
      </c>
      <c r="B5" s="47" t="s">
        <v>2</v>
      </c>
      <c r="C5" s="47" t="s">
        <v>142</v>
      </c>
      <c r="D5" s="47" t="s">
        <v>143</v>
      </c>
      <c r="E5" s="47" t="s">
        <v>144</v>
      </c>
      <c r="F5" s="47" t="s">
        <v>139</v>
      </c>
      <c r="G5" s="191"/>
      <c r="I5" s="192" t="s">
        <v>145</v>
      </c>
    </row>
    <row r="6" spans="1:12" ht="30">
      <c r="A6" s="193">
        <v>606</v>
      </c>
      <c r="B6" s="193" t="s">
        <v>46</v>
      </c>
      <c r="C6" s="194">
        <v>6209122516.4300003</v>
      </c>
      <c r="D6" s="194">
        <v>6262252639.46</v>
      </c>
      <c r="E6" s="195">
        <f t="shared" ref="E6:E21" si="0">ROUND(C6/D6*100,2)</f>
        <v>99.15</v>
      </c>
      <c r="F6" s="196">
        <f t="shared" ref="F6:F19" si="1">VALUE(LEFT(G6,1))</f>
        <v>5</v>
      </c>
      <c r="G6" s="162" t="str">
        <f>LOOKUP(E6,{0,30,33,37,40,43,47,50,53,57,70,73,77,80,83,87,100,103,107},{"0","1-","1","1+","2-","2","2+","3-","3","3+","4-","4","4+","5-","5","5+"})</f>
        <v>5+</v>
      </c>
      <c r="H6" s="3">
        <f t="shared" ref="H6:H19" si="2">VALUE(LEFT(F6,1))</f>
        <v>5</v>
      </c>
      <c r="I6" s="187">
        <v>801477.06</v>
      </c>
      <c r="J6" s="187">
        <v>34965453.399999999</v>
      </c>
    </row>
    <row r="7" spans="1:12" ht="30">
      <c r="A7" s="193">
        <v>621</v>
      </c>
      <c r="B7" s="193" t="s">
        <v>54</v>
      </c>
      <c r="C7" s="194">
        <v>2763569284.9499998</v>
      </c>
      <c r="D7" s="194">
        <v>3168800803.3899999</v>
      </c>
      <c r="E7" s="195">
        <f t="shared" si="0"/>
        <v>87.21</v>
      </c>
      <c r="F7" s="196">
        <f t="shared" si="1"/>
        <v>5</v>
      </c>
      <c r="G7" s="162" t="str">
        <f>LOOKUP(E7,{0,30,33,37,40,43,47,50,53,57,70,73,77,80,83,87,100,103,107},{"0","1-","1","1+","2-","2","2+","3-","3","3+","4-","4","4+","5-","5","5+"})</f>
        <v>5+</v>
      </c>
      <c r="H7" s="3">
        <f t="shared" si="2"/>
        <v>5</v>
      </c>
      <c r="I7" s="197">
        <v>13219769.550000001</v>
      </c>
      <c r="J7" s="197">
        <v>1548388148.1099999</v>
      </c>
      <c r="L7" s="198">
        <v>601</v>
      </c>
    </row>
    <row r="8" spans="1:12" ht="30">
      <c r="A8" s="193">
        <v>620</v>
      </c>
      <c r="B8" s="193" t="s">
        <v>48</v>
      </c>
      <c r="C8" s="194">
        <v>1982914220.1700001</v>
      </c>
      <c r="D8" s="194">
        <v>2074329803.05</v>
      </c>
      <c r="E8" s="195">
        <f t="shared" si="0"/>
        <v>95.59</v>
      </c>
      <c r="F8" s="196">
        <f t="shared" si="1"/>
        <v>5</v>
      </c>
      <c r="G8" s="162" t="str">
        <f>LOOKUP(E8,{0,30,33,37,40,43,47,50,53,57,70,73,77,80,83,87,100,103,107},{"0","1-","1","1+","2-","2","2+","3-","3","3+","4-","4","4+","5-","5","5+"})</f>
        <v>5+</v>
      </c>
      <c r="H8" s="3">
        <f t="shared" si="2"/>
        <v>5</v>
      </c>
      <c r="I8" s="197">
        <v>53626441.790000007</v>
      </c>
      <c r="J8" s="197">
        <v>631193238.27999997</v>
      </c>
      <c r="L8" s="198">
        <v>602</v>
      </c>
    </row>
    <row r="9" spans="1:12" ht="30">
      <c r="A9" s="193">
        <v>607</v>
      </c>
      <c r="B9" s="193" t="s">
        <v>50</v>
      </c>
      <c r="C9" s="194">
        <v>749652329.65999997</v>
      </c>
      <c r="D9" s="194">
        <v>773248544.88</v>
      </c>
      <c r="E9" s="195">
        <f t="shared" si="0"/>
        <v>96.95</v>
      </c>
      <c r="F9" s="196">
        <f t="shared" si="1"/>
        <v>5</v>
      </c>
      <c r="G9" s="162" t="str">
        <f>LOOKUP(E9,{0,30,33,37,40,43,47,50,53,57,70,73,77,80,83,87,100,103,107},{"0","1-","1","1+","2-","2","2+","3-","3","3+","4-","4","4+","5-","5","5+"})</f>
        <v>5+</v>
      </c>
      <c r="H9" s="3">
        <f t="shared" si="2"/>
        <v>5</v>
      </c>
      <c r="I9" s="197">
        <v>286640.46999999997</v>
      </c>
      <c r="J9" s="197">
        <v>595153269.37</v>
      </c>
      <c r="L9" s="198">
        <v>604</v>
      </c>
    </row>
    <row r="10" spans="1:12" ht="30">
      <c r="A10" s="193">
        <v>619</v>
      </c>
      <c r="B10" s="193" t="s">
        <v>44</v>
      </c>
      <c r="C10" s="194">
        <v>307603424.48000002</v>
      </c>
      <c r="D10" s="194">
        <v>383358524.26999998</v>
      </c>
      <c r="E10" s="195">
        <f t="shared" si="0"/>
        <v>80.239999999999995</v>
      </c>
      <c r="F10" s="196">
        <f t="shared" si="1"/>
        <v>5</v>
      </c>
      <c r="G10" s="162" t="str">
        <f>LOOKUP(E10,{0,30,33,37,40,43,47,50,53,57,70,73,77,80,83,87,100,103,107},{"0","1-","1","1+","2-","2","2+","3-","3","3+","4-","4","4+","5-","5","5+"})</f>
        <v>5-</v>
      </c>
      <c r="H10" s="3">
        <f t="shared" si="2"/>
        <v>5</v>
      </c>
      <c r="I10" s="197">
        <v>25118123.969999999</v>
      </c>
      <c r="J10" s="197">
        <v>119914293.14</v>
      </c>
      <c r="L10" s="198">
        <v>605</v>
      </c>
    </row>
    <row r="11" spans="1:12" ht="30">
      <c r="A11" s="193">
        <v>611</v>
      </c>
      <c r="B11" s="193" t="s">
        <v>47</v>
      </c>
      <c r="C11" s="194">
        <v>252898085.96000001</v>
      </c>
      <c r="D11" s="194">
        <v>275168648.26999998</v>
      </c>
      <c r="E11" s="195">
        <f t="shared" si="0"/>
        <v>91.91</v>
      </c>
      <c r="F11" s="196">
        <f t="shared" si="1"/>
        <v>5</v>
      </c>
      <c r="G11" s="162" t="str">
        <f>LOOKUP(E11,{0,30,33,37,40,43,47,50,53,57,70,73,77,80,83,87,100,103,107},{"0","1-","1","1+","2-","2","2+","3-","3","3+","4-","4","4+","5-","5","5+"})</f>
        <v>5+</v>
      </c>
      <c r="H11" s="3">
        <f t="shared" si="2"/>
        <v>5</v>
      </c>
      <c r="I11" s="197">
        <v>1836381.9100000001</v>
      </c>
      <c r="J11" s="197">
        <v>197840185.69</v>
      </c>
      <c r="L11" s="198">
        <v>606</v>
      </c>
    </row>
    <row r="12" spans="1:12" ht="30">
      <c r="A12" s="193">
        <v>618</v>
      </c>
      <c r="B12" s="193" t="s">
        <v>146</v>
      </c>
      <c r="C12" s="194">
        <v>178092009.03999999</v>
      </c>
      <c r="D12" s="194">
        <v>223406143.77000001</v>
      </c>
      <c r="E12" s="195">
        <f t="shared" si="0"/>
        <v>79.72</v>
      </c>
      <c r="F12" s="196">
        <f t="shared" si="1"/>
        <v>4</v>
      </c>
      <c r="G12" s="162" t="str">
        <f>LOOKUP(E12,{0,30,33,37,40,43,47,50,53,57,70,73,77,80,83,87,100,103,107},{"0","1-","1","1+","2-","2","2+","3-","3","3+","4-","4","4+","5-","5","5+"})</f>
        <v>4+</v>
      </c>
      <c r="H12" s="3">
        <f t="shared" si="2"/>
        <v>4</v>
      </c>
      <c r="I12" s="197">
        <v>6321670.29</v>
      </c>
      <c r="J12" s="197">
        <v>78131796.019999996</v>
      </c>
      <c r="L12" s="198">
        <v>607</v>
      </c>
    </row>
    <row r="13" spans="1:12" ht="30">
      <c r="A13" s="193">
        <v>617</v>
      </c>
      <c r="B13" s="193" t="s">
        <v>42</v>
      </c>
      <c r="C13" s="194">
        <v>172365548.08000001</v>
      </c>
      <c r="D13" s="194">
        <v>222857183.03</v>
      </c>
      <c r="E13" s="195">
        <f t="shared" si="0"/>
        <v>77.34</v>
      </c>
      <c r="F13" s="196">
        <f t="shared" si="1"/>
        <v>4</v>
      </c>
      <c r="G13" s="162" t="str">
        <f>LOOKUP(E13,{0,30,33,37,40,43,47,50,53,57,70,73,77,80,83,87,100,103,107},{"0","1-","1","1+","2-","2","2+","3-","3","3+","4-","4","4+","5-","5","5+"})</f>
        <v>4+</v>
      </c>
      <c r="H13" s="3">
        <f t="shared" si="2"/>
        <v>4</v>
      </c>
      <c r="I13" s="197">
        <v>3356833.5599999991</v>
      </c>
      <c r="J13" s="197">
        <v>104246773.48999999</v>
      </c>
      <c r="L13" s="198">
        <v>609</v>
      </c>
    </row>
    <row r="14" spans="1:12" ht="30">
      <c r="A14" s="193">
        <v>605</v>
      </c>
      <c r="B14" s="193" t="s">
        <v>79</v>
      </c>
      <c r="C14" s="194">
        <v>127169176.83</v>
      </c>
      <c r="D14" s="194">
        <v>200922573.59999999</v>
      </c>
      <c r="E14" s="195">
        <f t="shared" si="0"/>
        <v>63.29</v>
      </c>
      <c r="F14" s="196">
        <f t="shared" si="1"/>
        <v>3</v>
      </c>
      <c r="G14" s="162" t="str">
        <f>LOOKUP(E14,{0,30,33,37,40,43,47,50,53,57,70,73,77,80,83,87,100,103,107},{"0","1-","1","1+","2-","2","2+","3-","3","3+","4-","4","4+","5-","5","5+"})</f>
        <v>3+</v>
      </c>
      <c r="H14" s="3">
        <f t="shared" si="2"/>
        <v>3</v>
      </c>
      <c r="I14" s="197">
        <v>827353.17</v>
      </c>
      <c r="J14" s="197">
        <v>58981635.469999999</v>
      </c>
      <c r="L14" s="198">
        <v>611</v>
      </c>
    </row>
    <row r="15" spans="1:12" ht="30">
      <c r="A15" s="193">
        <v>602</v>
      </c>
      <c r="B15" s="193" t="s">
        <v>53</v>
      </c>
      <c r="C15" s="194">
        <v>118383669.53</v>
      </c>
      <c r="D15" s="194">
        <v>273092765.38999999</v>
      </c>
      <c r="E15" s="195">
        <f t="shared" si="0"/>
        <v>43.35</v>
      </c>
      <c r="F15" s="196">
        <f t="shared" si="1"/>
        <v>2</v>
      </c>
      <c r="G15" s="162" t="str">
        <f>LOOKUP(E15,{0,30,33,37,40,43,47,50,53,57,70,73,77,80,83,87,100,103,107},{"0","1-","1","1+","2-","2","2+","3-","3","3+","4-","4","4+","5-","5","5+"})</f>
        <v>2</v>
      </c>
      <c r="H15" s="3">
        <f t="shared" si="2"/>
        <v>2</v>
      </c>
      <c r="I15" s="197">
        <v>3306432.9</v>
      </c>
      <c r="J15" s="197">
        <v>65881203.380000003</v>
      </c>
      <c r="L15" s="198">
        <v>617</v>
      </c>
    </row>
    <row r="16" spans="1:12" ht="45">
      <c r="A16" s="193">
        <v>624</v>
      </c>
      <c r="B16" s="193" t="s">
        <v>40</v>
      </c>
      <c r="C16" s="194">
        <v>108953843.08</v>
      </c>
      <c r="D16" s="194">
        <v>130509349.63</v>
      </c>
      <c r="E16" s="195">
        <f t="shared" si="0"/>
        <v>83.48</v>
      </c>
      <c r="F16" s="196">
        <v>4</v>
      </c>
      <c r="G16" s="162" t="str">
        <f>LOOKUP(E16,{0,30,33,37,40,43,47,50,53,57,70,73,77,80,83,87,100,103,107},{"0","1-","1","1+","2-","2","2+","3-","3","3+","4-","4","4+","5-","5","5+"})</f>
        <v>5</v>
      </c>
      <c r="H16" s="3">
        <f t="shared" si="2"/>
        <v>4</v>
      </c>
      <c r="I16" s="197">
        <v>349098.54</v>
      </c>
      <c r="J16" s="197">
        <v>31892285.5</v>
      </c>
      <c r="L16" s="198">
        <v>618</v>
      </c>
    </row>
    <row r="17" spans="1:12" ht="30">
      <c r="A17" s="193">
        <v>604</v>
      </c>
      <c r="B17" s="193" t="s">
        <v>49</v>
      </c>
      <c r="C17" s="194">
        <v>105368830</v>
      </c>
      <c r="D17" s="194">
        <v>409265921.32999998</v>
      </c>
      <c r="E17" s="195">
        <f t="shared" si="0"/>
        <v>25.75</v>
      </c>
      <c r="F17" s="196">
        <f t="shared" si="1"/>
        <v>0</v>
      </c>
      <c r="G17" s="162" t="str">
        <f>LOOKUP(E17,{0,30,33,37,40,43,47,50,53,57,70,73,77,80,83,87,100,103,107},{"0","1-","1","1+","2-","2","2+","3-","3","3+","4-","4","4+","5-","5","5+"})</f>
        <v>0</v>
      </c>
      <c r="H17" s="3">
        <f t="shared" si="2"/>
        <v>0</v>
      </c>
      <c r="I17" s="197">
        <v>526592.81999999995</v>
      </c>
      <c r="J17" s="197">
        <v>225094603.69999999</v>
      </c>
      <c r="L17" s="198">
        <v>619</v>
      </c>
    </row>
    <row r="18" spans="1:12" ht="45">
      <c r="A18" s="199">
        <v>609</v>
      </c>
      <c r="B18" s="193" t="s">
        <v>37</v>
      </c>
      <c r="C18" s="194">
        <v>3936712453.9000001</v>
      </c>
      <c r="D18" s="194">
        <v>4131212151.5300002</v>
      </c>
      <c r="E18" s="195">
        <f t="shared" si="0"/>
        <v>95.29</v>
      </c>
      <c r="F18" s="196">
        <f t="shared" si="1"/>
        <v>5</v>
      </c>
      <c r="G18" s="162" t="str">
        <f>LOOKUP(E18,{0,30,33,37,40,43,47,50,53,57,70,73,77,80,83,87,100,103,107},{"0","1-","1","1+","2-","2","2+","3-","3","3+","4-","4","4+","5-","5","5+"})</f>
        <v>5+</v>
      </c>
      <c r="H18" s="3">
        <f t="shared" si="2"/>
        <v>5</v>
      </c>
      <c r="I18" s="197">
        <v>1914656.14</v>
      </c>
      <c r="J18" s="197">
        <v>93458057.909999996</v>
      </c>
      <c r="L18" s="198">
        <v>620</v>
      </c>
    </row>
    <row r="19" spans="1:12">
      <c r="A19" s="193">
        <v>601</v>
      </c>
      <c r="B19" s="193" t="s">
        <v>13</v>
      </c>
      <c r="C19" s="194">
        <v>64433290.57</v>
      </c>
      <c r="D19" s="194">
        <v>336327660.35000002</v>
      </c>
      <c r="E19" s="195">
        <f t="shared" si="0"/>
        <v>19.16</v>
      </c>
      <c r="F19" s="196">
        <f t="shared" si="1"/>
        <v>0</v>
      </c>
      <c r="G19" s="162" t="str">
        <f>LOOKUP(E19,{0,30,33,37,40,43,47,50,53,57,70,73,77,80,83,87,100,103,107},{"0","1-","1","1+","2-","2","2+","3-","3","3+","4-","4","4+","5-","5","5+"})</f>
        <v>0</v>
      </c>
      <c r="H19" s="3">
        <f t="shared" si="2"/>
        <v>0</v>
      </c>
      <c r="I19" s="197">
        <v>18617898.960000005</v>
      </c>
      <c r="J19" s="197">
        <v>265142095.90000001</v>
      </c>
      <c r="L19" s="198">
        <v>621</v>
      </c>
    </row>
    <row r="20" spans="1:12">
      <c r="A20" s="193">
        <v>600</v>
      </c>
      <c r="B20" s="193" t="s">
        <v>51</v>
      </c>
      <c r="C20" s="200"/>
      <c r="D20" s="200">
        <v>55976453.420000002</v>
      </c>
      <c r="E20" s="201">
        <f t="shared" si="0"/>
        <v>0</v>
      </c>
      <c r="F20" s="202">
        <v>0</v>
      </c>
      <c r="G20" s="203"/>
      <c r="I20" s="49"/>
      <c r="J20" s="49"/>
      <c r="L20" s="198">
        <v>624</v>
      </c>
    </row>
    <row r="21" spans="1:12" ht="30">
      <c r="A21" s="193">
        <v>643</v>
      </c>
      <c r="B21" s="193" t="s">
        <v>52</v>
      </c>
      <c r="C21" s="204"/>
      <c r="D21" s="205">
        <v>25334489.190000001</v>
      </c>
      <c r="E21" s="201">
        <f t="shared" si="0"/>
        <v>0</v>
      </c>
      <c r="F21" s="166"/>
      <c r="G21" s="206"/>
      <c r="I21" s="187">
        <f>6*100/14</f>
        <v>42.857142857142854</v>
      </c>
      <c r="J21" s="187"/>
    </row>
    <row r="22" spans="1:12">
      <c r="A22" s="51"/>
      <c r="D22" s="187"/>
      <c r="E22" s="138"/>
    </row>
    <row r="23" spans="1:12">
      <c r="A23" s="51"/>
      <c r="B23" s="51" t="s">
        <v>23</v>
      </c>
      <c r="C23" s="187"/>
      <c r="D23" s="187"/>
      <c r="E23" s="3">
        <f>SUBTOTAL(9,E6:E19)</f>
        <v>1038.43</v>
      </c>
    </row>
    <row r="24" spans="1:12" s="137" customFormat="1" ht="14.25">
      <c r="A24" s="54"/>
      <c r="B24" s="54" t="s">
        <v>24</v>
      </c>
      <c r="C24" s="188"/>
      <c r="D24" s="188"/>
      <c r="E24" s="137">
        <f>ROUND(E23/14,2)</f>
        <v>74.17</v>
      </c>
    </row>
    <row r="27" spans="1:12">
      <c r="C27" s="189">
        <f>SUM(C6:C20)</f>
        <v>17077238682.68</v>
      </c>
      <c r="D27" s="189">
        <f>SUM(D7:D20)</f>
        <v>12658476525.910002</v>
      </c>
    </row>
    <row r="28" spans="1:12">
      <c r="C28" s="189">
        <v>130109371.13</v>
      </c>
      <c r="D28" s="207">
        <v>4380105748.3499928</v>
      </c>
    </row>
    <row r="29" spans="1:12">
      <c r="C29" s="208">
        <f>C27-C28</f>
        <v>16947129311.550001</v>
      </c>
      <c r="D29" s="208">
        <f>D27-D28</f>
        <v>8278370777.560009</v>
      </c>
    </row>
  </sheetData>
  <sheetProtection formatCells="0" formatColumns="0" formatRows="0" insertColumns="0" insertRows="0" insertHyperlinks="0" deleteColumns="0" deleteRows="0" sort="0" autoFilter="0" pivotTables="0"/>
  <autoFilter ref="A5:F20"/>
  <sortState ref="A5:J21">
    <sortCondition descending="1" ref="E7"/>
  </sortState>
  <mergeCells count="2">
    <mergeCell ref="A1:F1"/>
    <mergeCell ref="A2:F2"/>
  </mergeCells>
  <pageMargins left="0.35433070866141736" right="0.19685039370078738" top="0.74803149606299213" bottom="0.74803149606299213" header="0.31496062992125984" footer="0.31496062992125984"/>
  <pageSetup paperSize="9" scale="64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8">
    <tabColor rgb="FF00B050"/>
  </sheetPr>
  <dimension ref="A1:L37"/>
  <sheetViews>
    <sheetView workbookViewId="0">
      <selection activeCell="C20" sqref="C20"/>
    </sheetView>
  </sheetViews>
  <sheetFormatPr defaultColWidth="9.140625" defaultRowHeight="15"/>
  <cols>
    <col min="1" max="1" width="8.42578125" style="46" customWidth="1"/>
    <col min="2" max="2" width="41.140625" style="3" customWidth="1"/>
    <col min="3" max="4" width="23.5703125" style="3" customWidth="1"/>
    <col min="5" max="5" width="18" style="3" customWidth="1"/>
    <col min="6" max="6" width="17" style="3" customWidth="1"/>
    <col min="7" max="7" width="21.5703125" style="3" customWidth="1"/>
    <col min="8" max="8" width="51.140625" style="3" customWidth="1"/>
    <col min="9" max="12" width="15.42578125" style="3" customWidth="1"/>
    <col min="13" max="16384" width="9.140625" style="3"/>
  </cols>
  <sheetData>
    <row r="1" spans="1:12" s="178" customFormat="1" ht="20.25">
      <c r="A1" s="447" t="s">
        <v>101</v>
      </c>
      <c r="B1" s="447"/>
      <c r="C1" s="447"/>
      <c r="D1" s="447"/>
      <c r="E1" s="447"/>
      <c r="F1" s="447"/>
      <c r="G1" s="209"/>
    </row>
    <row r="2" spans="1:12" ht="19.5">
      <c r="A2" s="448" t="s">
        <v>147</v>
      </c>
      <c r="B2" s="448"/>
      <c r="C2" s="448"/>
      <c r="D2" s="448"/>
      <c r="E2" s="448"/>
      <c r="F2" s="448"/>
      <c r="G2" s="210"/>
    </row>
    <row r="4" spans="1:12">
      <c r="A4" s="139"/>
      <c r="F4" s="181" t="s">
        <v>134</v>
      </c>
      <c r="G4" s="3">
        <v>20</v>
      </c>
    </row>
    <row r="5" spans="1:12" ht="81" customHeight="1">
      <c r="A5" s="47" t="s">
        <v>35</v>
      </c>
      <c r="B5" s="47" t="s">
        <v>2</v>
      </c>
      <c r="C5" s="47" t="s">
        <v>148</v>
      </c>
      <c r="D5" s="47" t="s">
        <v>149</v>
      </c>
      <c r="E5" s="47" t="s">
        <v>150</v>
      </c>
      <c r="F5" s="47" t="s">
        <v>139</v>
      </c>
      <c r="G5" s="211" t="s">
        <v>151</v>
      </c>
      <c r="H5" s="47" t="s">
        <v>2</v>
      </c>
      <c r="I5" s="47" t="s">
        <v>148</v>
      </c>
      <c r="J5" s="47" t="s">
        <v>149</v>
      </c>
      <c r="K5" s="47" t="s">
        <v>150</v>
      </c>
      <c r="L5" s="47" t="s">
        <v>139</v>
      </c>
    </row>
    <row r="6" spans="1:12">
      <c r="A6" s="193">
        <v>600</v>
      </c>
      <c r="B6" s="193" t="s">
        <v>51</v>
      </c>
      <c r="C6" s="212">
        <v>0</v>
      </c>
      <c r="D6" s="212">
        <v>3</v>
      </c>
      <c r="E6" s="201">
        <f t="shared" ref="E6:E21" si="0">ROUND(C6/D6,2)</f>
        <v>0</v>
      </c>
      <c r="F6" s="213" t="str">
        <f t="shared" ref="F6:F21" si="1">IF(E6&gt;0,"0","5")</f>
        <v>5</v>
      </c>
      <c r="G6" s="191"/>
      <c r="H6" s="84" t="s">
        <v>51</v>
      </c>
      <c r="I6" s="47"/>
      <c r="J6" s="47"/>
      <c r="K6" s="47"/>
      <c r="L6" s="47"/>
    </row>
    <row r="7" spans="1:12">
      <c r="A7" s="193">
        <v>601</v>
      </c>
      <c r="B7" s="193" t="s">
        <v>13</v>
      </c>
      <c r="C7" s="212">
        <v>0</v>
      </c>
      <c r="D7" s="212">
        <v>3</v>
      </c>
      <c r="E7" s="201">
        <f t="shared" si="0"/>
        <v>0</v>
      </c>
      <c r="F7" s="213" t="str">
        <f t="shared" si="1"/>
        <v>5</v>
      </c>
      <c r="G7" s="40"/>
      <c r="H7" s="84" t="s">
        <v>13</v>
      </c>
      <c r="I7" s="214">
        <v>0</v>
      </c>
      <c r="J7" s="214">
        <v>3</v>
      </c>
      <c r="K7" s="215">
        <f t="shared" ref="K7:K20" si="2">ROUND(I7/J7,2)</f>
        <v>0</v>
      </c>
      <c r="L7" s="215">
        <v>5</v>
      </c>
    </row>
    <row r="8" spans="1:12" ht="30">
      <c r="A8" s="193">
        <v>602</v>
      </c>
      <c r="B8" s="193" t="s">
        <v>53</v>
      </c>
      <c r="C8" s="212">
        <v>0</v>
      </c>
      <c r="D8" s="212">
        <v>3</v>
      </c>
      <c r="E8" s="201">
        <f t="shared" si="0"/>
        <v>0</v>
      </c>
      <c r="F8" s="213" t="str">
        <f t="shared" si="1"/>
        <v>5</v>
      </c>
      <c r="G8" s="40"/>
      <c r="H8" s="84" t="s">
        <v>53</v>
      </c>
      <c r="I8" s="214">
        <v>0</v>
      </c>
      <c r="J8" s="214">
        <v>3</v>
      </c>
      <c r="K8" s="215">
        <f t="shared" si="2"/>
        <v>0</v>
      </c>
      <c r="L8" s="215">
        <v>0</v>
      </c>
    </row>
    <row r="9" spans="1:12" ht="30">
      <c r="A9" s="193">
        <v>604</v>
      </c>
      <c r="B9" s="193" t="s">
        <v>49</v>
      </c>
      <c r="C9" s="212">
        <v>0</v>
      </c>
      <c r="D9" s="212">
        <v>3</v>
      </c>
      <c r="E9" s="201">
        <f t="shared" si="0"/>
        <v>0</v>
      </c>
      <c r="F9" s="213" t="str">
        <f t="shared" si="1"/>
        <v>5</v>
      </c>
      <c r="G9" s="40"/>
      <c r="H9" s="84" t="s">
        <v>49</v>
      </c>
      <c r="I9" s="214">
        <v>0</v>
      </c>
      <c r="J9" s="214">
        <v>3</v>
      </c>
      <c r="K9" s="215">
        <f t="shared" si="2"/>
        <v>0</v>
      </c>
      <c r="L9" s="215">
        <v>5</v>
      </c>
    </row>
    <row r="10" spans="1:12" ht="45">
      <c r="A10" s="193">
        <v>605</v>
      </c>
      <c r="B10" s="193" t="s">
        <v>45</v>
      </c>
      <c r="C10" s="212">
        <v>0</v>
      </c>
      <c r="D10" s="212">
        <v>3</v>
      </c>
      <c r="E10" s="201">
        <f t="shared" si="0"/>
        <v>0</v>
      </c>
      <c r="F10" s="213" t="str">
        <f t="shared" si="1"/>
        <v>5</v>
      </c>
      <c r="G10" s="40"/>
      <c r="H10" s="84" t="s">
        <v>79</v>
      </c>
      <c r="I10" s="214">
        <v>0</v>
      </c>
      <c r="J10" s="214">
        <v>3</v>
      </c>
      <c r="K10" s="215">
        <f t="shared" si="2"/>
        <v>0</v>
      </c>
      <c r="L10" s="215">
        <v>5</v>
      </c>
    </row>
    <row r="11" spans="1:12" ht="30">
      <c r="A11" s="193">
        <v>606</v>
      </c>
      <c r="B11" s="193" t="s">
        <v>46</v>
      </c>
      <c r="C11" s="212">
        <v>0</v>
      </c>
      <c r="D11" s="212">
        <v>3</v>
      </c>
      <c r="E11" s="201">
        <f t="shared" si="0"/>
        <v>0</v>
      </c>
      <c r="F11" s="213" t="str">
        <f t="shared" si="1"/>
        <v>5</v>
      </c>
      <c r="G11" s="216"/>
      <c r="H11" s="84" t="s">
        <v>46</v>
      </c>
      <c r="I11" s="214">
        <v>0</v>
      </c>
      <c r="J11" s="214">
        <v>3</v>
      </c>
      <c r="K11" s="215">
        <f t="shared" si="2"/>
        <v>0</v>
      </c>
      <c r="L11" s="215">
        <v>5</v>
      </c>
    </row>
    <row r="12" spans="1:12" ht="30">
      <c r="A12" s="193">
        <v>607</v>
      </c>
      <c r="B12" s="193" t="s">
        <v>50</v>
      </c>
      <c r="C12" s="212">
        <v>0</v>
      </c>
      <c r="D12" s="212">
        <v>3</v>
      </c>
      <c r="E12" s="201">
        <f t="shared" si="0"/>
        <v>0</v>
      </c>
      <c r="F12" s="213" t="str">
        <f t="shared" si="1"/>
        <v>5</v>
      </c>
      <c r="G12" s="216"/>
      <c r="H12" s="84" t="s">
        <v>50</v>
      </c>
      <c r="I12" s="214">
        <v>0</v>
      </c>
      <c r="J12" s="214">
        <v>3</v>
      </c>
      <c r="K12" s="215">
        <f t="shared" si="2"/>
        <v>0</v>
      </c>
      <c r="L12" s="215">
        <v>5</v>
      </c>
    </row>
    <row r="13" spans="1:12" ht="45">
      <c r="A13" s="193">
        <v>609</v>
      </c>
      <c r="B13" s="193" t="s">
        <v>37</v>
      </c>
      <c r="C13" s="212">
        <v>0</v>
      </c>
      <c r="D13" s="212">
        <v>3</v>
      </c>
      <c r="E13" s="201">
        <f t="shared" si="0"/>
        <v>0</v>
      </c>
      <c r="F13" s="213" t="str">
        <f t="shared" si="1"/>
        <v>5</v>
      </c>
      <c r="G13" s="216"/>
      <c r="H13" s="84" t="s">
        <v>37</v>
      </c>
      <c r="I13" s="214">
        <v>0</v>
      </c>
      <c r="J13" s="214">
        <v>3</v>
      </c>
      <c r="K13" s="215">
        <f t="shared" si="2"/>
        <v>0</v>
      </c>
      <c r="L13" s="215">
        <v>5</v>
      </c>
    </row>
    <row r="14" spans="1:12" ht="30">
      <c r="A14" s="193">
        <v>611</v>
      </c>
      <c r="B14" s="193" t="s">
        <v>47</v>
      </c>
      <c r="C14" s="212">
        <v>0</v>
      </c>
      <c r="D14" s="212">
        <v>3</v>
      </c>
      <c r="E14" s="201">
        <f t="shared" si="0"/>
        <v>0</v>
      </c>
      <c r="F14" s="213" t="str">
        <f t="shared" si="1"/>
        <v>5</v>
      </c>
      <c r="G14" s="216"/>
      <c r="H14" s="84" t="s">
        <v>47</v>
      </c>
      <c r="I14" s="214">
        <v>0</v>
      </c>
      <c r="J14" s="214">
        <v>3</v>
      </c>
      <c r="K14" s="215">
        <f t="shared" si="2"/>
        <v>0</v>
      </c>
      <c r="L14" s="215">
        <v>5</v>
      </c>
    </row>
    <row r="15" spans="1:12" ht="30">
      <c r="A15" s="193">
        <v>617</v>
      </c>
      <c r="B15" s="193" t="s">
        <v>42</v>
      </c>
      <c r="C15" s="212">
        <v>0</v>
      </c>
      <c r="D15" s="212">
        <v>3</v>
      </c>
      <c r="E15" s="201">
        <f t="shared" si="0"/>
        <v>0</v>
      </c>
      <c r="F15" s="213" t="str">
        <f t="shared" si="1"/>
        <v>5</v>
      </c>
      <c r="G15" s="216"/>
      <c r="H15" s="84" t="s">
        <v>42</v>
      </c>
      <c r="I15" s="214">
        <v>0</v>
      </c>
      <c r="J15" s="214">
        <v>3</v>
      </c>
      <c r="K15" s="215">
        <f t="shared" si="2"/>
        <v>0</v>
      </c>
      <c r="L15" s="215">
        <v>5</v>
      </c>
    </row>
    <row r="16" spans="1:12" ht="30">
      <c r="A16" s="193">
        <v>618</v>
      </c>
      <c r="B16" s="193" t="s">
        <v>38</v>
      </c>
      <c r="C16" s="212">
        <v>0</v>
      </c>
      <c r="D16" s="212">
        <v>3</v>
      </c>
      <c r="E16" s="201">
        <f t="shared" si="0"/>
        <v>0</v>
      </c>
      <c r="F16" s="213" t="str">
        <f t="shared" si="1"/>
        <v>5</v>
      </c>
      <c r="G16" s="216"/>
      <c r="H16" s="84" t="s">
        <v>38</v>
      </c>
      <c r="I16" s="214">
        <v>0</v>
      </c>
      <c r="J16" s="214">
        <v>3</v>
      </c>
      <c r="K16" s="215">
        <f t="shared" si="2"/>
        <v>0</v>
      </c>
      <c r="L16" s="215">
        <v>5</v>
      </c>
    </row>
    <row r="17" spans="1:12" ht="30">
      <c r="A17" s="193">
        <v>619</v>
      </c>
      <c r="B17" s="193" t="s">
        <v>44</v>
      </c>
      <c r="C17" s="212">
        <v>0</v>
      </c>
      <c r="D17" s="212">
        <v>3</v>
      </c>
      <c r="E17" s="201">
        <f t="shared" si="0"/>
        <v>0</v>
      </c>
      <c r="F17" s="213" t="str">
        <f t="shared" si="1"/>
        <v>5</v>
      </c>
      <c r="G17" s="216"/>
      <c r="H17" s="84" t="s">
        <v>44</v>
      </c>
      <c r="I17" s="214">
        <v>0</v>
      </c>
      <c r="J17" s="214">
        <v>3</v>
      </c>
      <c r="K17" s="215">
        <f t="shared" si="2"/>
        <v>0</v>
      </c>
      <c r="L17" s="215">
        <v>5</v>
      </c>
    </row>
    <row r="18" spans="1:12" ht="30">
      <c r="A18" s="193">
        <v>620</v>
      </c>
      <c r="B18" s="193" t="s">
        <v>48</v>
      </c>
      <c r="C18" s="212">
        <v>0</v>
      </c>
      <c r="D18" s="212">
        <v>3</v>
      </c>
      <c r="E18" s="201">
        <f t="shared" si="0"/>
        <v>0</v>
      </c>
      <c r="F18" s="213" t="str">
        <f t="shared" si="1"/>
        <v>5</v>
      </c>
      <c r="G18" s="216"/>
      <c r="H18" s="84" t="s">
        <v>48</v>
      </c>
      <c r="I18" s="214">
        <v>0</v>
      </c>
      <c r="J18" s="214">
        <v>3</v>
      </c>
      <c r="K18" s="215">
        <f t="shared" si="2"/>
        <v>0</v>
      </c>
      <c r="L18" s="215">
        <v>5</v>
      </c>
    </row>
    <row r="19" spans="1:12" ht="30">
      <c r="A19" s="193">
        <v>621</v>
      </c>
      <c r="B19" s="193" t="s">
        <v>54</v>
      </c>
      <c r="C19" s="212">
        <v>0</v>
      </c>
      <c r="D19" s="212">
        <v>3</v>
      </c>
      <c r="E19" s="201">
        <f t="shared" si="0"/>
        <v>0</v>
      </c>
      <c r="F19" s="213" t="str">
        <f t="shared" si="1"/>
        <v>5</v>
      </c>
      <c r="G19" s="216"/>
      <c r="H19" s="84" t="s">
        <v>54</v>
      </c>
      <c r="I19" s="214">
        <v>0</v>
      </c>
      <c r="J19" s="214">
        <v>3</v>
      </c>
      <c r="K19" s="215">
        <f t="shared" si="2"/>
        <v>0</v>
      </c>
      <c r="L19" s="215">
        <v>0</v>
      </c>
    </row>
    <row r="20" spans="1:12" ht="45">
      <c r="A20" s="193">
        <v>624</v>
      </c>
      <c r="B20" s="193" t="s">
        <v>40</v>
      </c>
      <c r="C20" s="212">
        <v>0</v>
      </c>
      <c r="D20" s="212">
        <v>3</v>
      </c>
      <c r="E20" s="201">
        <f t="shared" si="0"/>
        <v>0</v>
      </c>
      <c r="F20" s="213" t="str">
        <f t="shared" si="1"/>
        <v>5</v>
      </c>
      <c r="G20" s="216"/>
      <c r="H20" s="84" t="s">
        <v>40</v>
      </c>
      <c r="I20" s="214">
        <v>0</v>
      </c>
      <c r="J20" s="214">
        <v>3</v>
      </c>
      <c r="K20" s="215">
        <f t="shared" si="2"/>
        <v>0</v>
      </c>
      <c r="L20" s="215">
        <v>5</v>
      </c>
    </row>
    <row r="21" spans="1:12" ht="30">
      <c r="A21" s="193">
        <v>643</v>
      </c>
      <c r="B21" s="193" t="s">
        <v>52</v>
      </c>
      <c r="C21" s="212">
        <v>0</v>
      </c>
      <c r="D21" s="212">
        <v>3</v>
      </c>
      <c r="E21" s="201">
        <f t="shared" si="0"/>
        <v>0</v>
      </c>
      <c r="F21" s="213" t="str">
        <f t="shared" si="1"/>
        <v>5</v>
      </c>
      <c r="G21" s="216"/>
      <c r="H21" s="84" t="s">
        <v>52</v>
      </c>
      <c r="I21" s="214"/>
      <c r="J21" s="214"/>
      <c r="K21" s="215"/>
      <c r="L21" s="215"/>
    </row>
    <row r="22" spans="1:12">
      <c r="A22" s="51"/>
      <c r="B22" s="51"/>
      <c r="C22" s="187"/>
      <c r="D22" s="187"/>
      <c r="E22" s="138"/>
      <c r="F22" s="138"/>
    </row>
    <row r="23" spans="1:12">
      <c r="A23" s="51"/>
      <c r="B23" s="51" t="s">
        <v>23</v>
      </c>
      <c r="C23" s="187"/>
      <c r="D23" s="187"/>
      <c r="E23" s="138">
        <f>SUBTOTAL(9,E7:E20)</f>
        <v>0</v>
      </c>
      <c r="F23" s="138"/>
    </row>
    <row r="24" spans="1:12" s="137" customFormat="1" ht="14.25">
      <c r="A24" s="54"/>
      <c r="B24" s="54" t="s">
        <v>24</v>
      </c>
      <c r="C24" s="188"/>
      <c r="D24" s="188"/>
      <c r="E24" s="149">
        <f>ROUND(E23/16,2)</f>
        <v>0</v>
      </c>
      <c r="F24" s="149"/>
    </row>
    <row r="26" spans="1:12">
      <c r="E26" s="4"/>
      <c r="F26" s="4"/>
    </row>
    <row r="27" spans="1:12">
      <c r="C27" s="4">
        <f>SUM(C7:C26)</f>
        <v>0</v>
      </c>
      <c r="D27" s="4">
        <f>SUM(D7:D26)</f>
        <v>45</v>
      </c>
      <c r="E27" s="4">
        <f>SUM(E7:E26)</f>
        <v>0</v>
      </c>
      <c r="F27" s="4">
        <f>SUM(F7:F26)</f>
        <v>0</v>
      </c>
    </row>
    <row r="28" spans="1:12">
      <c r="C28" s="4">
        <v>9942990074.6999969</v>
      </c>
      <c r="D28" s="4">
        <v>10781317603.269995</v>
      </c>
      <c r="E28" s="4">
        <v>65659321.600000001</v>
      </c>
      <c r="F28" s="4">
        <f>D28-E28</f>
        <v>10715658281.669994</v>
      </c>
    </row>
    <row r="29" spans="1:12">
      <c r="C29" s="4">
        <f>C27-C28</f>
        <v>-9942990074.6999969</v>
      </c>
      <c r="D29" s="4">
        <f>D27-D28</f>
        <v>-10781317558.269995</v>
      </c>
      <c r="E29" s="4">
        <f>E27-E28</f>
        <v>-65659321.600000001</v>
      </c>
      <c r="F29" s="4">
        <f>F27-F28</f>
        <v>-10715658281.669994</v>
      </c>
    </row>
    <row r="30" spans="1:12">
      <c r="E30" s="217"/>
    </row>
    <row r="31" spans="1:12">
      <c r="E31" s="4"/>
    </row>
    <row r="32" spans="1:12">
      <c r="E32" s="4"/>
    </row>
    <row r="33" spans="2:5">
      <c r="E33" s="4"/>
    </row>
    <row r="34" spans="2:5">
      <c r="E34" s="4"/>
    </row>
    <row r="37" spans="2:5">
      <c r="B37" s="3">
        <v>2018</v>
      </c>
      <c r="C37" s="4">
        <v>9942990074.6999969</v>
      </c>
    </row>
  </sheetData>
  <sheetProtection formatCells="0" formatColumns="0" formatRows="0" insertColumns="0" insertRows="0" insertHyperlinks="0" deleteColumns="0" deleteRows="0" sort="0" autoFilter="0" pivotTables="0"/>
  <autoFilter ref="A5:G20"/>
  <sortState ref="A6:M19">
    <sortCondition ref="A6"/>
  </sortState>
  <mergeCells count="2">
    <mergeCell ref="A1:F1"/>
    <mergeCell ref="A2:F2"/>
  </mergeCells>
  <pageMargins left="0.35433070866141736" right="0.19685039370078738" top="0.74803149606299213" bottom="0.74803149606299213" header="0.31496062992125984" footer="0.31496062992125984"/>
  <pageSetup paperSize="9" scale="5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Р7-Офис/7.3.0.0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33</vt:i4>
      </vt:variant>
    </vt:vector>
  </HeadingPairs>
  <TitlesOfParts>
    <vt:vector size="65" baseType="lpstr">
      <vt:lpstr>Рейтинг 2015-2016</vt:lpstr>
      <vt:lpstr>Рейтинг 2022</vt:lpstr>
      <vt:lpstr>Оценка по напр 2022</vt:lpstr>
      <vt:lpstr>Оценка по напр 2016</vt:lpstr>
      <vt:lpstr>Итоги по ГРБС 2022</vt:lpstr>
      <vt:lpstr> РАСЧЕТЫ по ГРБС 2022</vt:lpstr>
      <vt:lpstr>1.1. част изм</vt:lpstr>
      <vt:lpstr>1.2. доля БА, запл на МП</vt:lpstr>
      <vt:lpstr>1.3. соблюд сроков</vt:lpstr>
      <vt:lpstr>1.4 неис. БА</vt:lpstr>
      <vt:lpstr>1.5 планир доход</vt:lpstr>
      <vt:lpstr>2.1. равн.расх</vt:lpstr>
      <vt:lpstr>2.2. МП</vt:lpstr>
      <vt:lpstr>2.3. индикат МП</vt:lpstr>
      <vt:lpstr>2.4. обяз-ва по соглаш</vt:lpstr>
      <vt:lpstr>2.5. кред плат в бюдж</vt:lpstr>
      <vt:lpstr>2.6. кред по расч с пост</vt:lpstr>
      <vt:lpstr>2.7 изм кред</vt:lpstr>
      <vt:lpstr>2.8 упр деб зад</vt:lpstr>
      <vt:lpstr>2.9 изм деб</vt:lpstr>
      <vt:lpstr>2.10 невыясн поступл</vt:lpstr>
      <vt:lpstr>2.11 исп дох</vt:lpstr>
      <vt:lpstr>3.1. свед. о инветариз</vt:lpstr>
      <vt:lpstr>3.2 своеврем пред</vt:lpstr>
      <vt:lpstr>3.3 своеврем БУ АУ</vt:lpstr>
      <vt:lpstr>3.4 Кач-во отчетн</vt:lpstr>
      <vt:lpstr>3.5 Кач-во отчетн БУ АУ</vt:lpstr>
      <vt:lpstr>4.1 наруш бюдж зак</vt:lpstr>
      <vt:lpstr>4.2 Исп пред-й</vt:lpstr>
      <vt:lpstr>5.1 Утв норм затрат</vt:lpstr>
      <vt:lpstr>5.2 разм инф</vt:lpstr>
      <vt:lpstr>5.3 Доля ост-в</vt:lpstr>
      <vt:lpstr>' РАСЧЕТЫ по ГРБС 2022'!Print_Titles</vt:lpstr>
      <vt:lpstr>' РАСЧЕТЫ по ГРБС 2022'!Область_печати</vt:lpstr>
      <vt:lpstr>'1.1. част изм'!Область_печати</vt:lpstr>
      <vt:lpstr>'1.2. доля БА, запл на МП'!Область_печати</vt:lpstr>
      <vt:lpstr>'1.3. соблюд сроков'!Область_печати</vt:lpstr>
      <vt:lpstr>'1.4 неис. БА'!Область_печати</vt:lpstr>
      <vt:lpstr>'1.5 планир доход'!Область_печати</vt:lpstr>
      <vt:lpstr>'2.1. равн.расх'!Область_печати</vt:lpstr>
      <vt:lpstr>'2.10 невыясн поступл'!Область_печати</vt:lpstr>
      <vt:lpstr>'2.11 исп дох'!Область_печати</vt:lpstr>
      <vt:lpstr>'2.2. МП'!Область_печати</vt:lpstr>
      <vt:lpstr>'2.3. индикат МП'!Область_печати</vt:lpstr>
      <vt:lpstr>'2.4. обяз-ва по соглаш'!Область_печати</vt:lpstr>
      <vt:lpstr>'2.5. кред плат в бюдж'!Область_печати</vt:lpstr>
      <vt:lpstr>'2.6. кред по расч с пост'!Область_печати</vt:lpstr>
      <vt:lpstr>'2.7 изм кред'!Область_печати</vt:lpstr>
      <vt:lpstr>'2.8 упр деб зад'!Область_печати</vt:lpstr>
      <vt:lpstr>'2.9 изм деб'!Область_печати</vt:lpstr>
      <vt:lpstr>'3.1. свед. о инветариз'!Область_печати</vt:lpstr>
      <vt:lpstr>'3.2 своеврем пред'!Область_печати</vt:lpstr>
      <vt:lpstr>'3.3 своеврем БУ АУ'!Область_печати</vt:lpstr>
      <vt:lpstr>'3.4 Кач-во отчетн'!Область_печати</vt:lpstr>
      <vt:lpstr>'3.5 Кач-во отчетн БУ АУ'!Область_печати</vt:lpstr>
      <vt:lpstr>'4.1 наруш бюдж зак'!Область_печати</vt:lpstr>
      <vt:lpstr>'4.2 Исп пред-й'!Область_печати</vt:lpstr>
      <vt:lpstr>'5.1 Утв норм затрат'!Область_печати</vt:lpstr>
      <vt:lpstr>'5.2 разм инф'!Область_печати</vt:lpstr>
      <vt:lpstr>'5.3 Доля ост-в'!Область_печати</vt:lpstr>
      <vt:lpstr>'Итоги по ГРБС 2022'!Область_печати</vt:lpstr>
      <vt:lpstr>'Оценка по напр 2016'!Область_печати</vt:lpstr>
      <vt:lpstr>'Оценка по напр 2022'!Область_печати</vt:lpstr>
      <vt:lpstr>'Рейтинг 2015-2016'!Область_печати</vt:lpstr>
      <vt:lpstr>'Рейтинг 2022'!Область_печати</vt:lpstr>
    </vt:vector>
  </TitlesOfParts>
  <Company>Melkosoft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Nadeina</cp:lastModifiedBy>
  <cp:revision>1</cp:revision>
  <dcterms:created xsi:type="dcterms:W3CDTF">2012-10-27T12:23:25Z</dcterms:created>
  <dcterms:modified xsi:type="dcterms:W3CDTF">2023-09-05T07:01:11Z</dcterms:modified>
</cp:coreProperties>
</file>