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bookViews>
    <workbookView activeTab="1"/>
  </bookViews>
  <sheets>
    <sheet name="Рейтинг 2015-2016" r:id="rId1" sheetId="1" state="hidden"/>
    <sheet name="Рейтинг 2022" r:id="rId2" sheetId="2" state="visible"/>
    <sheet name="Оценка по напр 2022" r:id="rId3" sheetId="3" state="visible"/>
    <sheet name="Оценка по напр 2016" r:id="rId4" sheetId="4" state="hidden"/>
    <sheet name="Итоги по ГРБС 2022" r:id="rId5" sheetId="5" state="visible"/>
    <sheet name=" РАСЧЕТЫ по ГРБС 2022" r:id="rId6" sheetId="6" state="visible"/>
    <sheet name="1.1. част изм" r:id="rId7" sheetId="7" state="hidden"/>
    <sheet name="1.2. доля БА, запл на МП" r:id="rId8" sheetId="8" state="hidden"/>
    <sheet name="1.3. соблюд сроков" r:id="rId9" sheetId="9" state="hidden"/>
    <sheet name="1.4 неис. БА" r:id="rId10" sheetId="10" state="hidden"/>
    <sheet name="1.5 планир доход" r:id="rId11" sheetId="11" state="hidden"/>
    <sheet name="2.1. равн.расх" r:id="rId12" sheetId="12" state="hidden"/>
    <sheet name="2.2. МП" r:id="rId13" sheetId="13" state="hidden"/>
    <sheet name="2.3. индикат МП" r:id="rId14" sheetId="14" state="hidden"/>
    <sheet name="2.4. обяз-ва по соглаш" r:id="rId15" sheetId="15" state="hidden"/>
    <sheet name="2.5. кред плат в бюдж" r:id="rId16" sheetId="16" state="hidden"/>
    <sheet name="2.6. кред по расч с пост" r:id="rId17" sheetId="17" state="hidden"/>
    <sheet name="2.7 изм кред" r:id="rId18" sheetId="18" state="hidden"/>
    <sheet name="2.8 упр деб зад" r:id="rId19" sheetId="19" state="hidden"/>
    <sheet name="2.9 изм деб" r:id="rId20" sheetId="20" state="hidden"/>
    <sheet name="2.10 невыясн поступл" r:id="rId21" sheetId="21" state="hidden"/>
    <sheet name="2.11 исп дох" r:id="rId22" sheetId="22" state="hidden"/>
    <sheet name="3.1. свед. о инветариз" r:id="rId23" sheetId="23" state="hidden"/>
    <sheet name="3.2 своеврем пред" r:id="rId24" sheetId="24" state="hidden"/>
    <sheet name="3.3 своеврем БУ АУ" r:id="rId25" sheetId="25" state="hidden"/>
    <sheet name="3.4 Кач-во отчетн" r:id="rId26" sheetId="26" state="hidden"/>
    <sheet name="3.5 Кач-во отчетн БУ АУ" r:id="rId27" sheetId="27" state="hidden"/>
    <sheet name="4.1 наруш бюдж зак" r:id="rId28" sheetId="28" state="hidden"/>
    <sheet name="4.2 Исп пред-й" r:id="rId29" sheetId="29" state="hidden"/>
    <sheet name="5.1 Утв норм затрат" r:id="rId30" sheetId="30" state="hidden"/>
    <sheet name="5.2 разм инф" r:id="rId31" sheetId="31" state="hidden"/>
    <sheet name="5.3 Доля ост-в" r:id="rId32" sheetId="32" state="hidden"/>
  </sheets>
  <definedNames>
    <definedName hidden="false" localSheetId="0" name="_xlnm.Print_Area">'Рейтинг 2015-2016'!$B$1:$I$26</definedName>
    <definedName hidden="false" localSheetId="1" name="_xlnm.Print_Area">'Рейтинг 2022'!$B$1:$E$28</definedName>
    <definedName hidden="false" localSheetId="2" name="_xlnm.Print_Area">'Оценка по напр 2022'!$A$1:$I$33</definedName>
    <definedName hidden="false" localSheetId="3" name="_xlnm.Print_Area">'Оценка по напр 2016'!$A$1:$L$30</definedName>
    <definedName hidden="false" localSheetId="4" name="_xlnm.Print_Area">'Итоги по ГРБС 2022'!$A$1:$D$26</definedName>
    <definedName hidden="false" localSheetId="5" name="Print_Titles">(' РАСЧЕТЫ по ГРБС 2022'!$A:$A, ' РАСЧЕТЫ по ГРБС 2022'!$3:$3)</definedName>
    <definedName hidden="false" localSheetId="5" name="_xlnm.Print_Area">' РАСЧЕТЫ по ГРБС 2022'!$A$1:$CC$35</definedName>
    <definedName hidden="true" localSheetId="5" name="_xlnm._FilterDatabase">' РАСЧЕТЫ по ГРБС 2022'!$A$1:$A$38</definedName>
    <definedName hidden="false" localSheetId="6" name="_xlnm.Print_Area">'1.1. част изм'!$A$1:$G$24</definedName>
    <definedName hidden="true" localSheetId="6" name="_xlnm._FilterDatabase">'1.1. част изм'!$A$5:$G$21</definedName>
    <definedName hidden="false" localSheetId="7" name="_xlnm.Print_Area">'1.2. доля БА, запл на МП'!$A$1:$F$24</definedName>
    <definedName hidden="true" localSheetId="7" name="_xlnm._FilterDatabase">'1.2. доля БА, запл на МП'!$A$5:$F$21</definedName>
    <definedName hidden="false" localSheetId="8" name="_xlnm.Print_Area">'1.3. соблюд сроков'!$A$1:$F$24</definedName>
    <definedName hidden="true" localSheetId="8" name="_xlnm._FilterDatabase">'1.3. соблюд сроков'!$A$5:$G$21</definedName>
    <definedName hidden="false" localSheetId="9" name="_xlnm.Print_Area">'1.4 неис. БА'!$A$1:$F$24</definedName>
    <definedName hidden="false" localSheetId="10" name="_xlnm.Print_Area">'1.5 планир доход'!$A$1:$F$24</definedName>
    <definedName hidden="false" localSheetId="11" name="_xlnm.Print_Area">'2.1. равн.расх'!$A$1:$H$24</definedName>
    <definedName hidden="true" localSheetId="11" name="_xlnm._FilterDatabase">'2.1. равн.расх'!$A$4:$L$21</definedName>
    <definedName hidden="false" localSheetId="12" name="_xlnm.Print_Area">'2.2. МП'!$A$1:$F$24</definedName>
    <definedName hidden="true" localSheetId="12" name="_xlnm._FilterDatabase">'2.2. МП'!$E$5:$E$20</definedName>
    <definedName hidden="false" localSheetId="13" name="_xlnm.Print_Area">'2.3. индикат МП'!$A$1:$F$24</definedName>
    <definedName hidden="false" localSheetId="14" name="_xlnm.Print_Area">'2.4. обяз-ва по соглаш'!$A$1:$E$24</definedName>
    <definedName hidden="false" localSheetId="15" name="_xlnm.Print_Area">'2.5. кред плат в бюдж'!$A$1:$F$23</definedName>
    <definedName hidden="false" localSheetId="16" name="_xlnm.Print_Area">'2.6. кред по расч с пост'!$A$1:$F$24</definedName>
    <definedName hidden="false" localSheetId="17" name="_xlnm.Print_Area">'2.7 изм кред'!$A$1:$F$23</definedName>
    <definedName hidden="false" localSheetId="18" name="_xlnm.Print_Area">'2.8 упр деб зад'!$A$1:$F$24</definedName>
    <definedName hidden="false" localSheetId="19" name="_xlnm.Print_Area">'2.9 изм деб'!$A$1:$F$24</definedName>
    <definedName hidden="false" localSheetId="20" name="_xlnm.Print_Area">'2.10 невыясн поступл'!$A$1:$E$24</definedName>
    <definedName hidden="false" localSheetId="21" name="_xlnm.Print_Area">'2.11 исп дох'!$A$1:$F$24</definedName>
    <definedName hidden="false" localSheetId="22" name="_xlnm.Print_Area">'3.1. свед. о инветариз'!$A$1:$E$21</definedName>
    <definedName hidden="false" localSheetId="23" name="_xlnm.Print_Area">'3.2 своеврем пред'!$A$1:$E$21</definedName>
    <definedName hidden="false" localSheetId="24" name="_xlnm.Print_Area">'3.3 своеврем БУ АУ'!$A$1:$E$21</definedName>
    <definedName hidden="false" localSheetId="25" name="_xlnm.Print_Area">'3.4 Кач-во отчетн'!$A$1:$E$24</definedName>
    <definedName hidden="false" localSheetId="26" name="_xlnm.Print_Area">'3.5 Кач-во отчетн БУ АУ'!$A$1:$E$24</definedName>
    <definedName hidden="false" localSheetId="27" name="_xlnm.Print_Area">'4.1 наруш бюдж зак'!$A$1:$F$21</definedName>
    <definedName hidden="false" localSheetId="28" name="_xlnm.Print_Area">'4.2 Исп пред-й'!$A$1:$G$22</definedName>
    <definedName hidden="false" localSheetId="29" name="_xlnm.Print_Area">'5.1 Утв норм затрат'!$A$1:$F$19</definedName>
    <definedName hidden="false" localSheetId="30" name="_xlnm.Print_Area">'5.2 разм инф'!$A$1:$F$19</definedName>
    <definedName hidden="false" localSheetId="31" name="_xlnm.Print_Area">'5.3 Доля ост-в'!$A$1:$F$19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<sst xmlns="http://schemas.openxmlformats.org/spreadsheetml/2006/main" xmlns:a="http://schemas.openxmlformats.org/drawingml/2006/main" xmlns:a15="http://schemas.microsoft.com/office/drawing/2012/main" xmlns:asvg="http://schemas.microsoft.com/office/drawing/2016/SVG/main" xmlns:c="http://schemas.openxmlformats.org/drawingml/2006/chart" xmlns:co="http://ncloudtech.com" xmlns:co-ooxml="http://ncloudtech.com/ooxml" xmlns:m="http://schemas.openxmlformats.org/officeDocument/2006/math" xmlns:mc="http://schemas.openxmlformats.org/markup-compatibility/2006" xmlns:o="urn:schemas-microsoft-com:office:office" xmlns:p="http://schemas.openxmlformats.org/presentationml/2006/main" xmlns:pic="http://schemas.openxmlformats.org/drawingml/2006/picture" xmlns:r="http://schemas.openxmlformats.org/officeDocument/2006/relationships" xmlns:s="http://schemas.openxmlformats.org/officeDocument/2006/sharedTypes" xmlns:sl="http://schemas.openxmlformats.org/schemaLibrary/2006/main" xmlns:v="urn:schemas-microsoft-com:vml" xmlns:w="http://schemas.openxmlformats.org/wordprocessingml/2006/main" xmlns:w10="urn:schemas-microsoft-com:office:word" xmlns:w14="http://schemas.microsoft.com/office/word/2010/wordml" xmlns:w15="http://schemas.microsoft.com/office/word/2012/wordml" xmlns:wp="http://schemas.openxmlformats.org/drawingml/2006/wordprocessingDrawing" xmlns:wpg="http://schemas.microsoft.com/office/word/2010/wordprocessingGroup" xmlns:wps="http://schemas.microsoft.com/office/word/2010/wordprocessingShape" xmlns:x="urn:schemas-microsoft-com:office:excel" xmlns:x12ac="http://schemas.microsoft.com/office/spreadsheetml/2011/1/ac" xmlns:x14="http://schemas.microsoft.com/office/spreadsheetml/2009/9/main" xmlns:xdr="http://schemas.openxmlformats.org/drawingml/2006/spreadsheetDrawing" xmlns:xm="http://schemas.microsoft.com/office/excel/2006/main" mc:Ignorable="co co-ooxml w14 x14 w15">
  <si>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Сравнительный анализ результатов мониторинга качества финансового менеджмента за 2015 и 2016 годы</t>
  </si>
  <si>
    <t>№ п/п</t>
  </si>
  <si>
    <t>Наименование</t>
  </si>
  <si>
    <t>Оценка</t>
  </si>
  <si>
    <t>Динамика оценки</t>
  </si>
  <si>
    <t>Место в рейтинге</t>
  </si>
  <si>
    <t>Динамика мест</t>
  </si>
  <si>
    <t>2015</t>
  </si>
  <si>
    <t>2016</t>
  </si>
  <si>
    <t>Комитет образования</t>
  </si>
  <si>
    <t xml:space="preserve">Комитет городского хозяйства </t>
  </si>
  <si>
    <t>Комитет культуры и молодежной политики</t>
  </si>
  <si>
    <t xml:space="preserve">Комитет градостроительства администрации </t>
  </si>
  <si>
    <t>Администрация города Ставрополя</t>
  </si>
  <si>
    <t>Комитет физической культуры и спорта</t>
  </si>
  <si>
    <t xml:space="preserve">Комитет по управлению муниципальным имуществом </t>
  </si>
  <si>
    <t>Администрация Промышленного района</t>
  </si>
  <si>
    <t>Комитет труда и социальной защиты населения</t>
  </si>
  <si>
    <t>Администрация Ленинского района</t>
  </si>
  <si>
    <t>Комитет финансов и бюджета</t>
  </si>
  <si>
    <t xml:space="preserve">Администрация Октябрьского района </t>
  </si>
  <si>
    <t>Комитет по делам гражданской обороны и чрезвычайным ситуациям</t>
  </si>
  <si>
    <t xml:space="preserve">Комитет муниципального заказа и торговли </t>
  </si>
  <si>
    <t>Суммарная оценка</t>
  </si>
  <si>
    <t>Средняя оценка</t>
  </si>
  <si>
    <t>Значение показателя самое высокое</t>
  </si>
  <si>
    <t>Значение показателя выше среднего значения</t>
  </si>
  <si>
    <t>Значение показателя ниже среднего значения</t>
  </si>
  <si>
    <t>Значение показателя самое низкое</t>
  </si>
  <si>
    <t>ОТЧЕТ</t>
  </si>
  <si>
    <t>о результатах мониторинга качества финансового менеджмента,</t>
  </si>
  <si>
    <t>осуществляемого администрацией города Ставрополя,</t>
  </si>
  <si>
    <t>ее отраслевыми (функциональными) и территориальными органами,</t>
  </si>
  <si>
    <t xml:space="preserve">в разрезе главных распорядителей бюджетных средств </t>
  </si>
  <si>
    <t>Место</t>
  </si>
  <si>
    <t>Код ГРБС</t>
  </si>
  <si>
    <t>Итоговая оценка качества финансового менеджмента с учетом корректирующего коэффициента</t>
  </si>
  <si>
    <t>Комитет труда и социальной защиты населения администрации города Ставрополя</t>
  </si>
  <si>
    <t>Администрация Октябрьского района города Ставрополя</t>
  </si>
  <si>
    <t xml:space="preserve"> +</t>
  </si>
  <si>
    <t>Комитет по делам гражданской обороны и чрезвычайным ситуациям администрации города Ставрополя</t>
  </si>
  <si>
    <t xml:space="preserve"> -</t>
  </si>
  <si>
    <t>Администрация Ленинского района города Ставрополя</t>
  </si>
  <si>
    <t xml:space="preserve"> + </t>
  </si>
  <si>
    <t>Администрация Промышленного района города Ставрополя</t>
  </si>
  <si>
    <t>Комитет  экономического развития и торговли администрации города Ставрополя</t>
  </si>
  <si>
    <t>Комитет образования администрации города Ставрополя</t>
  </si>
  <si>
    <t>Комитет физической культуры и спорта администрации города Ставрополя</t>
  </si>
  <si>
    <t>Комитет городского хозяйства администрации города Ставрополя</t>
  </si>
  <si>
    <t>Комитет финансов и бюджета администрации города Ставрополя</t>
  </si>
  <si>
    <t>Комитет культуры и молодежной политики администрации города Ставрополя</t>
  </si>
  <si>
    <t>Ставропольская городская Дума</t>
  </si>
  <si>
    <t>Контрольно-счетная палата города Ставрополя</t>
  </si>
  <si>
    <t>Комитет по управлению муниципальным имуществом города Ставрополя</t>
  </si>
  <si>
    <t>Комитет градостроительства администрации города Ставрополя</t>
  </si>
  <si>
    <t xml:space="preserve">Результаты мониторинга качества финансового менеджмента, </t>
  </si>
  <si>
    <t>осуществляемого администрацией города Ставрополя, ее отраслевыми (функциональными) и территориальными органами,</t>
  </si>
  <si>
    <t>за 2022 год в разрезе направлений</t>
  </si>
  <si>
    <t>Наименование главного распорядителя бюджетных средств</t>
  </si>
  <si>
    <t>Итоговая оценка группы показателей по направлениям деятельности</t>
  </si>
  <si>
    <t xml:space="preserve">Оценка качества финансового менеджмента </t>
  </si>
  <si>
    <t>Планирование бюджета города</t>
  </si>
  <si>
    <t>Исполнение бюджета города</t>
  </si>
  <si>
    <t>Учет и отчетность</t>
  </si>
  <si>
    <t>Соблюдение бюджетного законодательства и осуществление внутреннего финансового контроля и внутреннего финансового аудита</t>
  </si>
  <si>
    <t>Осуществление функций и полномочий учредителя в отношении подведомственных муниципальных учреждений города Ставрополя</t>
  </si>
  <si>
    <t>1</t>
  </si>
  <si>
    <t>2</t>
  </si>
  <si>
    <t>3</t>
  </si>
  <si>
    <t>4</t>
  </si>
  <si>
    <t>Комитет экономического развития и торговли администрации города Ставрополя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</si>
  <si>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</si>
  <si>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</si>
  <si>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</si>
  <si>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</si>
  <si>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</si>
  <si>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</si>
  <si>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</si>
  <si>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</si>
  <si>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</si>
  <si>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Комитет муниципального заказа и торговли администрации города Ставрополя</t>
  </si>
  <si>
    <t>14</t>
  </si>
  <si>
    <t>15</t>
  </si>
  <si>
    <t>16</t>
  </si>
  <si>
    <t>Результаты мониторинга качества финансового менеджмента за 2016 год по направлениям</t>
  </si>
  <si>
    <t>Корректи          рующий коэффи          циент</t>
  </si>
  <si>
    <t>Итоговая оценка качества финансового менеджмента с учетом корректирующего коэффициента (гр.9*гр.10)</t>
  </si>
  <si>
    <t>Качество планирования бюджета города</t>
  </si>
  <si>
    <t>Исполнение бюджета города в части расходов</t>
  </si>
  <si>
    <t>Исполнение бюджета города в части доходов</t>
  </si>
  <si>
    <t>Исполнение судебных актов</t>
  </si>
  <si>
    <t>Подведомственные муниципальные учреждения</t>
  </si>
  <si>
    <t>Квалификация финансового (финансово-экономического) подразделения главных распорядителей бюджетных средств</t>
  </si>
  <si>
    <t>-</t>
  </si>
  <si>
    <t xml:space="preserve">Итоговая оценка качества финансового менеджмента </t>
  </si>
  <si>
    <t>Итоговая оценка качества финансового менеджмента</t>
  </si>
  <si>
    <r>
      <t>Наименование показат</t>
    </r>
    <r>
      <rPr>
        <rFont val="Times New Roman"/>
        <sz val="10"/>
      </rPr>
      <t>елей/групп показателй</t>
    </r>
  </si>
  <si>
    <t>Пороценты по постановлению</t>
  </si>
  <si>
    <t>Корректировка процентов</t>
  </si>
  <si>
    <t>Оценка показателей</t>
  </si>
  <si>
    <t>Значение показателя в групппе пропорционально весу в группе</t>
  </si>
  <si>
    <t>Значение группы показателей</t>
  </si>
  <si>
    <t>1. Планирование бюджета города Ставрополя</t>
  </si>
  <si>
    <t>Показатель 1.1. Частота внесения изменений в бюджетную роспись главных распорядителей бюджетных средств</t>
  </si>
  <si>
    <t>Показатель 1.2. Доля бюджетных ассигнований, запаланированных на реализацию муниципальныхпрограмм</t>
  </si>
  <si>
    <t>Показатель 1.3. Соблюдение главными распорядителями бюджетных средств сроков представления документов и материалов, установленных муниципальными правовыми актами города Ставрополя, регламентирующими процесс формирования бюджета города</t>
  </si>
  <si>
    <t>Показатель 1.4.  Объем неисполненных на конец отчетного финансового года бюджетных ассигнований</t>
  </si>
  <si>
    <t>1.5. Качество планирования поступления налоговых доходов бюджета города</t>
  </si>
  <si>
    <t>2. Исполнение бюджета города</t>
  </si>
  <si>
    <t>Показатель 2.1. Равномерность осуществления расходов</t>
  </si>
  <si>
    <t>Показатель 2.2. Эффективность использования бюджетных средств, выделенных на реализацию муниципальных программ за отчетный финансовый год</t>
  </si>
  <si>
    <t>Показатель 2.3. Достижение запланированных целевых показателей муниципальных программ</t>
  </si>
  <si>
    <t>Показатель 2.4. Выполнение обязательств, предусмотренных соглашениями о предоставлении субсидий из других бюджетов бюджетной системы Российской Федерации</t>
  </si>
  <si>
    <t xml:space="preserve">Показатель 2.5. Эффективность управления кредиторской задолженностью по расчетам по платежам в бюджеты </t>
  </si>
  <si>
    <t>Показатель 2.6. Эффективность управления кредиторской задолженностью по расчетам с поставщиками (подрядчиками, исполнителями)</t>
  </si>
  <si>
    <t>Показатель 2.7. Изменение суммы кредиторской задолженности в отчетном году</t>
  </si>
  <si>
    <t>Показатель 2.8. Эффективность управления дебиторской задолженностью по расчетам с дебиторами по доходам</t>
  </si>
  <si>
    <t>Показатель 2.9. Изменение суммы дебиторской задолженности  в отчетном году</t>
  </si>
  <si>
    <r>
      <t xml:space="preserve">Показатель 2.10. Объем невыясненных поступлений, зачисленных </t>
    </r>
    <r>
      <t xml:space="preserve">
</t>
    </r>
    <r>
      <t>в бюджет города и не уточненных администратором доходов бюджета города и подведомственными ему учреждениями по состоянию на 31 декабря отчетного финансового года</t>
    </r>
  </si>
  <si>
    <t>Показатель 2.11. Оценка  кассового исполнения по налоговым и неналоговым доходам по главному администратору доходов бюджета города</t>
  </si>
  <si>
    <t>3. Учет и отчетность</t>
  </si>
  <si>
    <t>Показатель 3.1. Представление в составе годовой бюджетной отчетности сведений о проведении инвентаризаций</t>
  </si>
  <si>
    <t xml:space="preserve">Показатель 3.2. Своевременность представления отчетности об исполнении бюджета города в комитет финансов и бюджета администрации города Ставрополя </t>
  </si>
  <si>
    <t>Показатель 3.3. Своевременность представления сводной бухгалтерской отчетности муниципальных бюджетных и автономных учреждений в комитет финансов и бюджета администрации города Ставрополя</t>
  </si>
  <si>
    <t>Показатель 3.4. Качество представления отчетности об исполнении бюджета города</t>
  </si>
  <si>
    <t xml:space="preserve">Показатель 3.5. Качество представления сводной бухгалтерской отчетности муниципальных бюджетных и автономных учреждений </t>
  </si>
  <si>
    <t>4. Соблюдение бюджетного законодательства и осуществление внутреннего финансового контроля и внутреннего финансового аудита</t>
  </si>
  <si>
    <t>Показатель 4.1. Нарушения бюджетного законодательства, выявленные в ходе проведения контрольных мероприятий органом внутреннего муниципального финансового контроля</t>
  </si>
  <si>
    <t>Показатель 4.2. Исполнение предписаний (представлений), направленных главным распорядителям бюджетных средств органом внутреннего муниципального финансового контроля</t>
  </si>
  <si>
    <t>5. Осуществление функций и полномочий учредителя в отношении подведомственных муниципальных учреждений города Ставрополя</t>
  </si>
  <si>
    <t>5.1. Доля муниципальных услуг (работ), оказываемых подведомственными муниципальными учреждениями города Ставрополя в качестве основных видов деятельности, относительно которых утверждены нормативные затраты на единицу муниципальной услуги (работы)</t>
  </si>
  <si>
    <t>5.2. Полнота размещения информации на официальном сайте www.busgov.ru в информационно-телекоммуникационной сети  «Интернет» в соответствии с приказом Министерства финансов Российской Федерации от 21 июля 2011 г. №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</si>
  <si>
    <r>
      <t xml:space="preserve">5.3. Доля остатков средств субсидий на выполнение муниципального задания на лицевых счетах муниципальных бюджетных и автономных учреждений </t>
    </r>
    <r>
      <t xml:space="preserve">
</t>
    </r>
    <r>
      <t>на конец отчетного финансового года</t>
    </r>
  </si>
  <si>
    <t>ИТОГО</t>
  </si>
  <si>
    <t>1.1. Частота внесения изменений в бюджетную роспись главных распорядителей бюджетных средств</t>
  </si>
  <si>
    <t>(в рублях)</t>
  </si>
  <si>
    <t xml:space="preserve">Количество изменений в бюджетную роспись главного распорядителя бюджетных средств в ходе исполнения бюджета города Ставрополя (далее -  бюджет города) без учета изменений по кодам аналитического учета  в отчетном финансовом году (за исключением изменений, связанных с внесением изменений в решение Ставропольской городской Думы о бюджете города Ставрополя на очередной финансовый год и плановый период (далее – решение о бюджете); отражением безвозмездных поступлений из других бюджетов бюджетной системы Российской Федерации, от физических и юридических лиц; распределением зарезервированных расходов, утвержденных решением о бюджете; реорганизацией органов местного самоуправления) (K) </t>
  </si>
  <si>
    <t>Объем бюджетных ассигнований главного распорядителя бюджетных средств в отчетном финансовом году согласно отчету об исполнении бюджета города (b)</t>
  </si>
  <si>
    <t>Объем  бюджетных ассигнований бюджета города согласно отчету об исполнении бюджета города (B)</t>
  </si>
  <si>
    <t>Процент, P           Р = К х (1- b / В)</t>
  </si>
  <si>
    <t>Значение показателя (с учетом условий)</t>
  </si>
  <si>
    <r>
      <t>Е(Р) = 0, если P &gt; 50</t>
    </r>
    <r>
      <t xml:space="preserve">
</t>
    </r>
    <r>
      <t>Е(Р) = 1, если 40 &lt; P ≤ 50</t>
    </r>
    <r>
      <t xml:space="preserve">
</t>
    </r>
    <r>
      <t>Е(Р) = 2, если 30 &lt; P ≤ 40</t>
    </r>
    <r>
      <t xml:space="preserve">
</t>
    </r>
    <r>
      <t>Е(Р) = 3, если 20 &lt; P ≤ 30</t>
    </r>
    <r>
      <t xml:space="preserve">
</t>
    </r>
    <r>
      <t>Е(Р) = 4, если 10 &lt; P ≤ 20</t>
    </r>
    <r>
      <t xml:space="preserve">
</t>
    </r>
    <r>
      <t>Е(Р) = 5, если P ≤  10</t>
    </r>
    <r>
      <t xml:space="preserve">
</t>
    </r>
  </si>
  <si>
    <t>1.2. Доля бюджетных ассигнований, запланированных на реализацию муниципальных программ города Ставрополя</t>
  </si>
  <si>
    <t>Годовой объем бюджетных ассигнований по главному распорядителю бюджетных средств с учетом внесенных изменений на конец отчетного периода на реализацию муниципальных программ (S)</t>
  </si>
  <si>
    <t>Годовой объем бюджетных ассигнований по главному распорядителю бюджетных средств с учетом внесенных изменений на конец отчетного периода (без учета субвенций) (b)</t>
  </si>
  <si>
    <t xml:space="preserve">Процент, P           P = 100 х S / b </t>
  </si>
  <si>
    <r>
      <t>Е(Р) = 0, если P &lt; 30%</t>
    </r>
    <r>
      <t xml:space="preserve">
</t>
    </r>
    <r>
      <t>Е(Р) = 1, если 30% ≤ P &lt; 40%</t>
    </r>
    <r>
      <t xml:space="preserve">
</t>
    </r>
    <r>
      <t>Е(Р) = 2, если 40% ≤ P &lt; 50%</t>
    </r>
    <r>
      <t xml:space="preserve">
</t>
    </r>
    <r>
      <t>Е(Р) = 3, если 50% ≤ P &lt; 70%</t>
    </r>
    <r>
      <t xml:space="preserve">
</t>
    </r>
    <r>
      <t>Е(Р) = 4, если 70% ≤ P ≤ 85%</t>
    </r>
    <r>
      <t xml:space="preserve">
</t>
    </r>
    <r>
      <t>Е(Р) = 5, если Р &gt; 85%</t>
    </r>
    <r>
      <t xml:space="preserve">
</t>
    </r>
  </si>
  <si>
    <t>Администрация Октябртского района города Ставрополя</t>
  </si>
  <si>
    <t>1.3. Соблюдение главными распорядителями бюджетных средств сроков представления документов и материалов, установленных муниципальными правовыми актами города Ставрополя, регламентирующими процесс формирования бюджета города</t>
  </si>
  <si>
    <t xml:space="preserve">Количество материалов, представленных с нарушением сроков (Еn) </t>
  </si>
  <si>
    <t>Количество материалов, которые необходимо представить в рамках бюджетного процесса в установленные сроки (Е)</t>
  </si>
  <si>
    <t>Процент, P           Р = Еn / Е</t>
  </si>
  <si>
    <r>
      <t>Е(Р) = 0, если Р &gt; 0</t>
    </r>
    <r>
      <t xml:space="preserve">
</t>
    </r>
    <r>
      <t>Е(Р) = 5, если P = 0</t>
    </r>
    <r>
      <t xml:space="preserve">
</t>
    </r>
  </si>
  <si>
    <t>1.4. Объем неисполненных на конец отчетного финансового года бюджетных ассигнований</t>
  </si>
  <si>
    <t>Кассовое исполнение расходов главного распорядителя бюджетных средств в отчетном финансовом году ( E)</t>
  </si>
  <si>
    <t xml:space="preserve">Процент, P                        P = 100 x (b - E) / b </t>
  </si>
  <si>
    <r>
      <t>Е(Р) = 0, если Р &gt; 50%</t>
    </r>
    <r>
      <t xml:space="preserve">
</t>
    </r>
    <r>
      <t>Е(Р) = 1, если 10% ≤ P ≤ 50%</t>
    </r>
    <r>
      <t xml:space="preserve">
</t>
    </r>
    <r>
      <t>Е(Р) = 2, если 5% ≤ P &lt; 10%</t>
    </r>
    <r>
      <t xml:space="preserve">
</t>
    </r>
    <r>
      <t>Е(Р) = 3, если 1% ≤ P &lt; 5%</t>
    </r>
    <r>
      <t xml:space="preserve">
</t>
    </r>
    <r>
      <t xml:space="preserve">Е(Р) = 4, если 0,5% ≤ P &lt; 1% </t>
    </r>
    <r>
      <t xml:space="preserve">
</t>
    </r>
    <r>
      <t>Е(Р) = 5, если P &lt; 0,5%</t>
    </r>
    <r>
      <t xml:space="preserve">
</t>
    </r>
  </si>
  <si>
    <t>Контрольно-счетной палаты города Ставрополя</t>
  </si>
  <si>
    <t>1.5. Качество планирования поступлений налоговых и неналоговых доходов бюджета города</t>
  </si>
  <si>
    <t>Фактическое исполнение по налоговым и неналоговым доходам  по главному администратору доходов  бюджета города по данным отчета об исполнении бюджета (форма 0503117) за отчетный финансовый год  (R)</t>
  </si>
  <si>
    <t xml:space="preserve"> Утвержденные бюджетные назначения по налоговым и неналоговым доходам бюджета города по главному администратору доходов бюджета по данным решения о бюджете на очередной финансовый год и плановый период (Rn)</t>
  </si>
  <si>
    <r>
      <t>Процент, P                        P = (R/Rn)*100</t>
    </r>
    <r>
      <t xml:space="preserve">
</t>
    </r>
  </si>
  <si>
    <r>
      <t xml:space="preserve">Е(Р) = 0, если 30&lt; P </t>
    </r>
    <r>
      <t xml:space="preserve">
</t>
    </r>
    <r>
      <t>Е(Р) = 2, если 10 &lt; P≤ 30</t>
    </r>
    <r>
      <t xml:space="preserve">
</t>
    </r>
    <r>
      <t>Е(Р) = 5, если 0 &lt; P ≤ 10</t>
    </r>
    <r>
      <t xml:space="preserve">
</t>
    </r>
  </si>
  <si>
    <t>2.1. Равномерность осуществления расходов</t>
  </si>
  <si>
    <r>
      <t xml:space="preserve">Кассовые расходы главного распорядителя бюджетных средств </t>
    </r>
    <r>
      <t xml:space="preserve">
</t>
    </r>
    <r>
      <t>за 2021 год</t>
    </r>
  </si>
  <si>
    <r>
      <t xml:space="preserve">Кассовые расходы главного распорядителя бюджетных средств </t>
    </r>
    <r>
      <t xml:space="preserve">
</t>
    </r>
    <r>
      <t>за девять месяцев 2021 года</t>
    </r>
  </si>
  <si>
    <r>
      <t xml:space="preserve">Кассовые расходы главного распорядителя бюджетных средств </t>
    </r>
    <r>
      <t xml:space="preserve">
</t>
    </r>
    <r>
      <t>в IV квартале отчетного финансового года (E)</t>
    </r>
    <r>
      <t xml:space="preserve">
</t>
    </r>
  </si>
  <si>
    <r>
      <t xml:space="preserve">Cредний объем кассовых расходов главного распорядителя бюджетных средств </t>
    </r>
    <r>
      <t xml:space="preserve">
</t>
    </r>
    <r>
      <t>за I – III кварталы отчетного финансового года (Еср )</t>
    </r>
  </si>
  <si>
    <t xml:space="preserve">Процент, P                                                   P = (Е – Еср)*100/Еср </t>
  </si>
  <si>
    <r>
      <t>Е(Р) = 0, если P &gt; 100%</t>
    </r>
    <r>
      <t xml:space="preserve">
</t>
    </r>
    <r>
      <t>Е(Р) = 1, если 80% ≤ P ≤ 100%</t>
    </r>
    <r>
      <t xml:space="preserve">
</t>
    </r>
    <r>
      <t>Е(Р) = 2, если 60% ≤ P &lt; 80%</t>
    </r>
    <r>
      <t xml:space="preserve">
</t>
    </r>
    <r>
      <t>Е(Р) = 3, если 40% ≤ P &lt; 60%</t>
    </r>
    <r>
      <t xml:space="preserve">
</t>
    </r>
    <r>
      <t>Е(Р) = 4, если 25% ≤ P &lt; 40%</t>
    </r>
    <r>
      <t xml:space="preserve">
</t>
    </r>
    <r>
      <t>Е(Р) = 5, если P &lt; 25%</t>
    </r>
    <r>
      <t xml:space="preserve">
</t>
    </r>
  </si>
  <si>
    <t>Контрольно-счетная палата администрации города Ставрополя</t>
  </si>
  <si>
    <t>2.2. Эффективность использования бюджетных средств, выделенных на реализацию муниципальных программ за отчетный финансовый год</t>
  </si>
  <si>
    <t>Кассовые расходы главного распорядителя бюджетных средств на реализацию муниципальных программ в отчетном финансовом году (Sисп)</t>
  </si>
  <si>
    <t>Объем бюджетных ассигнований главного распорядителя бюджетных средств в отчетном финансовом году на реализацию муниципальных программ  (S)</t>
  </si>
  <si>
    <r>
      <t>Процент, P                                                   Эмцп=100 х (Sисп / S)</t>
    </r>
    <r>
      <t xml:space="preserve">
</t>
    </r>
    <r>
      <t xml:space="preserve"> </t>
    </r>
  </si>
  <si>
    <r>
      <t>Е(Р) = 0, если Р ≤ 50%</t>
    </r>
    <r>
      <t xml:space="preserve">
</t>
    </r>
    <r>
      <t>Е(Р) = 1, если 50% &lt; Р ≤ 70%</t>
    </r>
    <r>
      <t xml:space="preserve">
</t>
    </r>
    <r>
      <t>Е(Р) = 2, если 70% &lt; Р ≤ 80%</t>
    </r>
    <r>
      <t xml:space="preserve">
</t>
    </r>
    <r>
      <t>Е(Р) = 3, если 80% &lt; Р ≤ 90%</t>
    </r>
    <r>
      <t xml:space="preserve">
</t>
    </r>
    <r>
      <t>Е(Р) = 4, если 90% &lt; Р &lt; 100%</t>
    </r>
    <r>
      <t xml:space="preserve">
</t>
    </r>
    <r>
      <t>Е(Р) = 5, если Р = 100%</t>
    </r>
    <r>
      <t xml:space="preserve">
</t>
    </r>
  </si>
  <si>
    <t xml:space="preserve">2.3. Достижение запланированных целевых показателей муниципальных программ </t>
  </si>
  <si>
    <t>Количество показателей муниципальных программ, достигнутых в отчетном финансовом году (Q1)</t>
  </si>
  <si>
    <t>Количество показателей муниципальных программ, достижение которых было запланировано в отчетном финансовом году (Q)</t>
  </si>
  <si>
    <r>
      <t>Процент, P                                                   P = 100 х Q1 / Q</t>
    </r>
    <r>
      <t xml:space="preserve">
</t>
    </r>
    <r>
      <t xml:space="preserve"> </t>
    </r>
  </si>
  <si>
    <r>
      <t>Е(Р) = 0, если P &lt; 30%</t>
    </r>
    <r>
      <t xml:space="preserve">
</t>
    </r>
    <r>
      <t>Е(Р) = 1, если 30% ≤ P &lt; 40%</t>
    </r>
    <r>
      <t xml:space="preserve">
</t>
    </r>
    <r>
      <t>Е(Р) = 2, если 40% ≤ P &lt; 50%</t>
    </r>
    <r>
      <t xml:space="preserve">
</t>
    </r>
    <r>
      <t>Е(Р) = 3, если 50% ≤ P &lt; 80%</t>
    </r>
    <r>
      <t xml:space="preserve">
</t>
    </r>
    <r>
      <t>Е(Р) = 4, если 80% ≤ P ≤ 90%</t>
    </r>
    <r>
      <t xml:space="preserve">
</t>
    </r>
    <r>
      <t>Е(Р) = 5, если Р &gt; 90%</t>
    </r>
    <r>
      <t xml:space="preserve">
</t>
    </r>
  </si>
  <si>
    <t>2.4. Выполнение обязательств, предусмотренных соглашениями о предоставлении субсидий из других бюджетов бюджетной системы Российской Федерации</t>
  </si>
  <si>
    <r>
      <t xml:space="preserve">Обязательства, предусмотренные соглашениями о предоставлении субсидий из других бюджетов бюджетной системы Российской Федерации, выполнены в полном объеме </t>
    </r>
    <r>
      <t xml:space="preserve">
</t>
    </r>
    <r>
      <t>(5 баллов)</t>
    </r>
  </si>
  <si>
    <r>
      <t>Допущено нарушение обязательств, предусмотренных соглашениями о предоставлении субсидий из других бюджетов бюджетной системы Российской Федерации</t>
    </r>
    <r>
      <t xml:space="preserve">
</t>
    </r>
    <r>
      <t>(0 баллов)</t>
    </r>
  </si>
  <si>
    <r>
      <t xml:space="preserve">Е(Р) = 5 </t>
    </r>
    <r>
      <t xml:space="preserve">
</t>
    </r>
    <r>
      <t>Е(Р) = 0</t>
    </r>
  </si>
  <si>
    <t>да</t>
  </si>
  <si>
    <t>нет</t>
  </si>
  <si>
    <t xml:space="preserve">2.5. Эффективность управления кредиторской задолженностью по расчетам по платежам в бюджеты  </t>
  </si>
  <si>
    <r>
      <t xml:space="preserve">Объем кредиторской задолженности по расчетам по платежам в бюджеты в отчетном финансовом году по состоянию </t>
    </r>
    <r>
      <t xml:space="preserve">
</t>
    </r>
    <r>
      <t>на 01 января года, следующего за отчетным финансовым  годом (K)</t>
    </r>
  </si>
  <si>
    <t>Кассовое исполнение расходов главного распорядителя бюджетных средств в отчетном финансовом году (Е)</t>
  </si>
  <si>
    <t>Процент, P                                                   P = 100 x K / E</t>
  </si>
  <si>
    <t>2.6. Эффективность управления кредиторской задолженностью по расчетам с поставщиками (подрядчиками, исполнителями)</t>
  </si>
  <si>
    <r>
      <t xml:space="preserve">Объем кредиторской задолженности по расчетам с поставщиками (подрядчиками, исполнителями) в отчетном финансовом году по состоянию </t>
    </r>
    <r>
      <t xml:space="preserve">
</t>
    </r>
    <r>
      <t>на 01 января года, следующего за отчетным финансовым годом (K)</t>
    </r>
  </si>
  <si>
    <t>2.7. Изменение суммы кредиторской задолженности в отчетном году</t>
  </si>
  <si>
    <r>
      <t xml:space="preserve"> Объем кредиторской задолженности главного распорядителя бюджетных средств по состоянию </t>
    </r>
    <r>
      <t xml:space="preserve">
</t>
    </r>
    <r>
      <t>на 01 января отчетного года (К0)</t>
    </r>
  </si>
  <si>
    <t>Объем кредиторской задолженности главного распорядителя бюджетных средств по состоянию на 01 января года, следующего за отчетным (K1)</t>
  </si>
  <si>
    <t>Процент, P                                                   P = (К0 - K1) / К0 *100</t>
  </si>
  <si>
    <t>2.8. Эффективность управления дебиторской задолженностью по расчетам с дебиторами по доходам</t>
  </si>
  <si>
    <r>
      <t xml:space="preserve">
</t>
    </r>
  </si>
  <si>
    <t xml:space="preserve"> Объем дебиторской задолженности по расчетам с дебиторами по доходам в отчетном финансовом году по состоянию на 01 января года, следующего за отчетным финансовым годом (D)</t>
  </si>
  <si>
    <t>Кассовое исполнение по доходам, закрепленным за администратором доходов бюджета в отчетном финансовом году (Rf )</t>
  </si>
  <si>
    <t xml:space="preserve">Процент, P                        P =  = |100 х D / Rf|   </t>
  </si>
  <si>
    <t>2.9. Изменение суммы дебиторской задолженности  в отчетном году</t>
  </si>
  <si>
    <r>
      <t xml:space="preserve"> Объем дебиторской задолженности в части расчетов с дебиторами по расходам по состоянию </t>
    </r>
    <r>
      <t xml:space="preserve">
</t>
    </r>
    <r>
      <t>на 01 января отчетного года ( Д0)</t>
    </r>
  </si>
  <si>
    <t xml:space="preserve"> Объем дебиторской задолженности в части расчетов с дебиторами по расходам по состоянию на 01 января года, следующего за отчетным (Д1)</t>
  </si>
  <si>
    <t>Процент, P                                                   P = (Д0 - Д1) / Д0 *100</t>
  </si>
  <si>
    <r>
      <t xml:space="preserve">2.10. Объем невыясненных поступлений, зачисленных </t>
    </r>
    <r>
      <t xml:space="preserve">
</t>
    </r>
    <r>
      <t>в бюджет города и не уточненных администратором доходов бюджета города и подведомственными ему учреждениями по состоянию на 31 декабря отчетного финансового года</t>
    </r>
    <r>
      <t xml:space="preserve">
</t>
    </r>
  </si>
  <si>
    <r>
      <t>Е(Р)=5, если Р=0</t>
    </r>
    <r>
      <t xml:space="preserve">
</t>
    </r>
    <r>
      <t>Е(Р)=0; еслиР &gt;0</t>
    </r>
  </si>
  <si>
    <t>объем невыясненных поступлений, зачисленных в бюджет города и не уточненных администратором доходов бюджета города и подведомственными ему учреждениями по состоянию на 31 декабря отчетного финансового года (Онп)</t>
  </si>
  <si>
    <t>Процент, P                        Р = Онп</t>
  </si>
  <si>
    <t>2.11. Оценка  кассового исполнения по налоговым и неналоговым доходам по главному администратору доходов бюджета города</t>
  </si>
  <si>
    <t>Фактическое исполнение по налоговым и неналоговым  доходам по главному администратору доходов бюджета города в отчетном финансовом году (Rf )</t>
  </si>
  <si>
    <t>Уточненные плановые назначения по налоговым и неналоговым доходам для главного администратора доходов бюджета города в отчетном финансовом году  (Rp)</t>
  </si>
  <si>
    <t>Процент, P                        Р = Rf/Rp x 100 – 100</t>
  </si>
  <si>
    <r>
      <t>Оценка            E(P) = 0, если P&lt;0  E(P) = 5, если P</t>
    </r>
    <r>
      <rPr>
        <rFont val="Times New Roman"/>
        <sz val="11"/>
        <u val="single"/>
      </rPr>
      <t>&gt;0</t>
    </r>
  </si>
  <si>
    <t>3.1. Представление в составе годовой бюджетной отчетности сведений о проведении инвентаризаций</t>
  </si>
  <si>
    <t>Таблица «Сведения о проведении инвентаризаций» заполнена и соответствует  требованиям Инструкции о порядке составления и представления годовой, квартальной и месячной отчетности об исполнении бюджетов бюджетной системы Российской Федерации (5 баллов)</t>
  </si>
  <si>
    <t>Таблица «Сведения о проведении инвентаризаций» не заполнена или не соответствует  требованиям Инструкции о порядке составления и представления годовой, квартальной и месячной отчетности об исполнении бюджетов бюджетной системы Российской Федерации                    (0 баллов)</t>
  </si>
  <si>
    <t>3.2. Своевременность представления отчетности об исполнении бюджета города в комитет финансов и бюджета администрации города Ставрополя</t>
  </si>
  <si>
    <r>
      <t xml:space="preserve">Отсутствие факта представления отчетности (месячной, квартальной, годовой) об исполнении бюджета города позже установленного срока </t>
    </r>
    <r>
      <t xml:space="preserve">
</t>
    </r>
    <r>
      <t>(5 баллов)</t>
    </r>
  </si>
  <si>
    <t>Наличие факта представления отчетности (месячной, квартальной, годовой) об исполнении бюджета города позже установленного срока (0 баллов)</t>
  </si>
  <si>
    <t>3.3. Своевременность представления сводной бухгалтерской отчетности муниципальных бюджетных и автономных учреждений в комитет финансов и бюджета администрации города Ставрополя</t>
  </si>
  <si>
    <r>
      <t>Отсутствие факта представления сводной бухгалтерской отчетности (месячной, квартальной, годовой)</t>
    </r>
    <r>
      <t xml:space="preserve">
</t>
    </r>
    <r>
      <t>муниципальных бюджетных и автономных учреждений  позже установленного срока</t>
    </r>
    <r>
      <t xml:space="preserve">
</t>
    </r>
    <r>
      <t>(5 баллов)</t>
    </r>
  </si>
  <si>
    <r>
      <t>Наличие факта представления сводной бухгалтерской отчетности (месячной, квартальной, годовой)</t>
    </r>
    <r>
      <t xml:space="preserve">
</t>
    </r>
    <r>
      <t>муниципальных бюджетных и автономных учреждений  позже установленного срока</t>
    </r>
    <r>
      <t xml:space="preserve">
</t>
    </r>
    <r>
      <t xml:space="preserve"> (0 баллов)</t>
    </r>
  </si>
  <si>
    <t xml:space="preserve">3.4. Качество представления отчетности об исполнении бюджета города </t>
  </si>
  <si>
    <t>Количество возвратов комитетом финансов и бюджета администрации города Ставрополя на доработку форм отчетности об исполнении бюджета города (Nд /5)</t>
  </si>
  <si>
    <t>Процент, P                        Р=100 х (Nд / 5)</t>
  </si>
  <si>
    <t xml:space="preserve">3.5. Качество представления сводной бухгалтерской отчетности муниципальных бюджетных и автономных учреждений </t>
  </si>
  <si>
    <t>Количество возвратов комитетом финансов и бюджета администрации города Ставрополя на доработку форм сводной бухгалтерской отчетности муниципальных бюджетных и автономных учреждений (Nд )</t>
  </si>
  <si>
    <t xml:space="preserve"> 4. Соблюдение бюджетного законодательства и осуществление внутреннего финансового контроля и внутреннего финансового аудита</t>
  </si>
  <si>
    <r>
      <t>Е(Р) = 0, если Р &gt; 1</t>
    </r>
    <r>
      <t xml:space="preserve">
</t>
    </r>
    <r>
      <t>Е(Р) = 5, если Р ≤ 1</t>
    </r>
  </si>
  <si>
    <t>4.1. Нарушения бюджетного законодательства, выявленные в ходе проведения контрольных мероприятий органом внутреннего муниципального финансового контроля</t>
  </si>
  <si>
    <t>Общая сумма выявленных финансовых нарушений за три отчетных финансовых года, предшествующих текущему финансовому году (S)</t>
  </si>
  <si>
    <t>Объем проверенных средств за три отчетных финансовых года, предшествующих текущему финансовому году (b)</t>
  </si>
  <si>
    <r>
      <t>Процент, P                        Р = 100 х S / b</t>
    </r>
    <r>
      <t xml:space="preserve">
</t>
    </r>
  </si>
  <si>
    <r>
      <t xml:space="preserve"> 4. Соблюдение бюджетного законодательства и осуществление внутреннего </t>
    </r>
    <r>
      <t xml:space="preserve">
</t>
    </r>
    <r>
      <t>финансового контроля и внутреннего финансового аудита</t>
    </r>
  </si>
  <si>
    <t>4.2. Исполнение предписаний (представлений), направленных главным распорядителям бюджетных средств органом внутреннего муниципального финансового контроля</t>
  </si>
  <si>
    <t>Количество исполненных предписаний (представлений) органа внутреннего муниципального финансового контроля за три отчетных финансовых года, предшествующих текущему финансовому году (Qp)</t>
  </si>
  <si>
    <t>Количество частично исполненных предписаний (представлений) органа внутреннего муниципального финансового контроля за три отчетных финансовых года, предшествующих текущему финансовому году) (Qc)</t>
  </si>
  <si>
    <t>Количество направленных предписаний (представлений) органа внутреннего муниципального финансового контроля за три отчетных финансовых года, предшествующих текущему финансовому году (Qn )</t>
  </si>
  <si>
    <t>Процент, P                                                  Р = 100 х ( (Qp + 0,5 х Qc) / Qn)</t>
  </si>
  <si>
    <r>
      <t>Е(Р) = 0, если Р &lt; 60%</t>
    </r>
    <r>
      <t xml:space="preserve">
</t>
    </r>
    <r>
      <t>Е(Р) = 1, если 60% ≤ Р &lt; 70%</t>
    </r>
    <r>
      <t xml:space="preserve">
</t>
    </r>
    <r>
      <t>Е(Р) = 2, если 70% ≤ Р &lt; 80%</t>
    </r>
    <r>
      <t xml:space="preserve">
</t>
    </r>
    <r>
      <t>Е(Р) = 3, если 80% ≤ Р &lt; 90%</t>
    </r>
    <r>
      <t xml:space="preserve">
</t>
    </r>
    <r>
      <t>Е(Р) = 4, если 90% ≤ Р &lt; 100%</t>
    </r>
    <r>
      <t xml:space="preserve">
</t>
    </r>
    <r>
      <t>Е(Р) = 5, если Р = 100%</t>
    </r>
  </si>
  <si>
    <t>Количество муниципальных услуг (работ), оказываемых подведомственными муниципальными учреждениями города Ставрополя в качестве основных видов деятельности, относительно которых утверждены нормативные затраты на единицу муниципальной услуги (работы)  (S)</t>
  </si>
  <si>
    <t>Количество муниципальных услуг (работ), оказываемых подведомственными муниципальными учреждениями города Ставрополя в качестве основных видов деятельности (b)</t>
  </si>
  <si>
    <t xml:space="preserve">Процент, P                                                  P = 100 х S / b </t>
  </si>
  <si>
    <r>
      <t xml:space="preserve">Размещение информации подведомственными муниципальными учреждениями города Ставрополя в полном объеме </t>
    </r>
    <r>
      <t xml:space="preserve">
</t>
    </r>
    <r>
      <t>(5 баллов)</t>
    </r>
  </si>
  <si>
    <r>
      <t xml:space="preserve">Неполное размещение информации подведомственными муниципальными учреждениями города Ставрополя </t>
    </r>
    <r>
      <t xml:space="preserve">
</t>
    </r>
    <r>
      <t>(0 баллов)</t>
    </r>
  </si>
  <si>
    <t>Объем остатков средств субсидий на  выполнение муниципального задания на лицевых счетах муниципальных бюджетных и автономных учреждений на конец отчетного финансового года (В)</t>
  </si>
  <si>
    <t>Объем средств, перечисленный учредителем муниципальным бюджетным и автономным учреждениям на выполнение муниципального задания в течение отчетного финансового года (Е)</t>
  </si>
  <si>
    <t>Процент, P                                                  Р = 100 х (В / Е)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</si>
</sst>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000;[red]-000;&quot;&quot;" formatCode="000;[red]-000;&quot;&quot;" numFmtId="1002"/>
    <numFmt co:extendedFormatCode="@" formatCode="@" numFmtId="1003"/>
    <numFmt co:extendedFormatCode="0.00" formatCode="0.00" numFmtId="1004"/>
    <numFmt co:extendedFormatCode="#,##0" formatCode="#,##0" numFmtId="1005"/>
    <numFmt co:extendedFormatCode="_-* #,##0.00_р_._-;-* #,##0.00_р_._-;_-* -??_р_._-;_-@_-" formatCode="_-* #,##0.00_р_._-;-* #,##0.00_р_._-;_-* -??_р_._-;_-@_-" numFmtId="1006"/>
    <numFmt co:extendedFormatCode="0.00%" formatCode="0.00%" numFmtId="1007"/>
    <numFmt co:extendedFormatCode="#,##0.00;[red]-#,##0.00;0.00" formatCode="#,##0.00;[red]-#,##0.00;0.00" numFmtId="1008"/>
    <numFmt co:extendedFormatCode="#,##0.00_ ;[red]-#,##0.00 " formatCode="#,##0.00_ ;[red]-#,##0.00 " numFmtId="1009"/>
    <numFmt co:extendedFormatCode="_-* #,##0.00 _₽_-;-* #,##0.00 _₽_-;_-* -?? _₽_-;_-@_-" formatCode="_-* #,##0.00 _₽_-;-* #,##0.00 _₽_-;_-* -?? _₽_-;_-@_-" numFmtId="1010"/>
    <numFmt co:extendedFormatCode="#,##0.00_ ;-#,##0.00 " formatCode="#,##0.00_ ;-#,##0.00 " numFmtId="1011"/>
    <numFmt co:extendedFormatCode="_(* #,##0.00_);_(* (#,##0.00);_(* -??_);_(@_)" formatCode="_(* #,##0.00_);_(* (#,##0.00);_(* -??_);_(@_)" numFmtId="1012"/>
    <numFmt co:extendedFormatCode="#,##0_ ;[red]-#,##0 " formatCode="#,##0_ ;[red]-#,##0 " numFmtId="1013"/>
  </numFmts>
  <fonts count="35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b val="true"/>
      <i val="true"/>
      <color rgb="000000" tint="0"/>
      <sz val="14"/>
      <u val="single"/>
    </font>
    <font>
      <name val="Times New Roman"/>
      <color rgb="000000" tint="0"/>
      <sz val="14"/>
    </font>
    <font>
      <name val="Times New Roman"/>
      <sz val="11"/>
    </font>
    <font>
      <name val="Times New Roman"/>
      <color rgb="FF0000" tint="0"/>
      <sz val="11"/>
    </font>
    <font>
      <name val="Times New Roman"/>
      <color theme="1" tint="0"/>
      <sz val="10"/>
    </font>
    <font>
      <name val="Times New Roman"/>
      <b val="true"/>
      <color theme="1" tint="0"/>
      <sz val="11"/>
    </font>
    <font>
      <name val="Times New Roman"/>
      <b val="true"/>
      <color rgb="FF0000" tint="0"/>
      <sz val="11"/>
    </font>
    <font>
      <name val="Times New Roman"/>
      <color rgb="FF0000" tint="0"/>
      <sz val="12"/>
    </font>
    <font>
      <name val="Times New Roman"/>
      <sz val="9"/>
    </font>
    <font>
      <name val="Times New Roman"/>
      <b val="true"/>
      <sz val="11"/>
    </font>
    <font>
      <name val="Times New Roman"/>
      <sz val="12"/>
    </font>
    <font>
      <name val="Times New Roman"/>
      <b val="true"/>
      <sz val="12"/>
    </font>
    <font>
      <name val="Times New Roman"/>
      <color theme="1" tint="0"/>
      <sz val="12"/>
    </font>
    <font>
      <name val="Times New Roman"/>
      <color rgb="00B050" tint="0"/>
      <sz val="12"/>
    </font>
    <font>
      <name val="Times New Roman"/>
      <color rgb="00B050" tint="0"/>
      <sz val="11"/>
    </font>
    <font>
      <name val="Times New Roman"/>
      <b val="true"/>
      <i val="true"/>
      <sz val="12"/>
      <u val="single"/>
    </font>
    <font>
      <name val="Times New Roman"/>
      <b val="true"/>
      <color rgb="FF0000" tint="0"/>
      <sz val="12"/>
    </font>
    <font>
      <name val="Times New Roman"/>
      <b val="true"/>
      <i val="true"/>
      <color theme="1" tint="0"/>
      <sz val="12"/>
      <u val="single"/>
    </font>
    <font>
      <name val="Times New Roman"/>
      <b val="true"/>
      <sz val="10"/>
    </font>
    <font>
      <name val="Times New Roman"/>
      <sz val="10"/>
    </font>
    <font>
      <name val="Times New Roman"/>
      <color theme="8" tint="-0.249977111117893"/>
      <sz val="11"/>
    </font>
    <font>
      <name val="Times New Roman"/>
      <b val="true"/>
      <color theme="1" tint="0"/>
      <sz val="16"/>
    </font>
    <font>
      <name val="Times New Roman"/>
      <b val="true"/>
      <i val="true"/>
      <color theme="1" tint="0"/>
      <sz val="14"/>
    </font>
    <font>
      <name val="Arial"/>
      <color rgb="000000" tint="0"/>
      <sz val="10"/>
    </font>
    <font>
      <name val="Arial"/>
      <sz val="10"/>
    </font>
    <font>
      <name val="Times New Roman"/>
      <color rgb="FF00FF" tint="0"/>
      <sz val="11"/>
    </font>
    <font>
      <name val="Times New Roman"/>
      <color rgb="CC0066" tint="0"/>
      <sz val="11"/>
    </font>
    <font>
      <name val="Times New Roman"/>
      <b val="true"/>
      <color rgb="00B050" tint="0"/>
      <sz val="11"/>
    </font>
    <font>
      <name val="Arial"/>
      <sz val="8"/>
    </font>
    <font>
      <name val="Times New Roman"/>
      <color rgb="000000" tint="0"/>
      <sz val="11"/>
    </font>
    <font>
      <name val="Times New Roman"/>
      <b val="true"/>
      <color rgb="000000" tint="0"/>
      <sz val="11"/>
    </font>
    <font>
      <name val="Times New Roman"/>
      <color rgb="00B0F0" tint="0"/>
      <sz val="11"/>
    </font>
  </fonts>
  <fills count="15">
    <fill>
      <patternFill patternType="none"/>
    </fill>
    <fill>
      <patternFill patternType="gray125"/>
    </fill>
    <fill>
      <patternFill patternType="solid">
        <fgColor rgb="00B050" tint="0"/>
      </patternFill>
    </fill>
    <fill>
      <patternFill patternType="solid">
        <fgColor rgb="92D050" tint="0"/>
      </patternFill>
    </fill>
    <fill>
      <patternFill patternType="solid">
        <fgColor theme="9" tint="0.399975585192419"/>
      </patternFill>
    </fill>
    <fill>
      <patternFill patternType="solid">
        <fgColor theme="9" tint="-0.249977111117893"/>
      </patternFill>
    </fill>
    <fill>
      <patternFill patternType="solid">
        <fgColor rgb="FF0000" tint="0"/>
      </patternFill>
    </fill>
    <fill>
      <patternFill patternType="solid">
        <fgColor rgb="FFFF00" tint="0"/>
      </patternFill>
    </fill>
    <fill>
      <patternFill patternType="solid">
        <fgColor theme="9" tint="0.599993896298105"/>
      </patternFill>
    </fill>
    <fill>
      <patternFill patternType="solid">
        <fgColor theme="0" tint="0"/>
      </patternFill>
    </fill>
    <fill>
      <patternFill patternType="solid">
        <fgColor rgb="66FFFF" tint="0"/>
      </patternFill>
    </fill>
    <fill>
      <patternFill patternType="solid">
        <fgColor rgb="00B0F0" tint="0"/>
      </patternFill>
    </fill>
    <fill>
      <patternFill patternType="solid">
        <fgColor rgb="FFC000" tint="0"/>
      </patternFill>
    </fill>
    <fill>
      <patternFill patternType="solid">
        <fgColor rgb="FFFF99" tint="0"/>
      </patternFill>
    </fill>
    <fill>
      <patternFill patternType="solid">
        <fgColor rgb="FFFFFF" tint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medium">
        <color rgb="000000" tint="0"/>
      </top>
      <bottom style="none"/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3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2" numFmtId="1000" quotePrefix="false">
      <alignment vertical="top"/>
    </xf>
    <xf applyAlignment="true" applyFont="true" applyNumberFormat="true" borderId="0" fillId="0" fontId="2" numFmtId="1001" quotePrefix="false">
      <alignment vertical="top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Border="true" applyFont="true" applyNumberFormat="true" borderId="1" fillId="0" fontId="5" numFmtId="1002" quotePrefix="false">
      <alignment horizontal="center" vertical="center" wrapText="true"/>
      <protection hidden="true"/>
    </xf>
    <xf applyAlignment="true" applyBorder="true" applyFont="true" applyNumberFormat="true" borderId="1" fillId="0" fontId="6" numFmtId="1002" quotePrefix="false">
      <alignment horizontal="center" vertical="top" wrapText="true"/>
      <protection hidden="true"/>
    </xf>
    <xf applyAlignment="true" applyBorder="true" applyFont="true" applyNumberFormat="true" borderId="1" fillId="0" fontId="6" numFmtId="1001" quotePrefix="false">
      <alignment horizontal="center" vertical="top" wrapText="true"/>
      <protection hidden="true"/>
    </xf>
    <xf applyAlignment="true" applyBorder="true" applyFont="true" applyNumberFormat="true" borderId="2" fillId="0" fontId="6" numFmtId="1001" quotePrefix="false">
      <alignment horizontal="center" vertical="top" wrapText="true"/>
      <protection hidden="true"/>
    </xf>
    <xf applyAlignment="true" applyBorder="true" applyFont="true" applyNumberFormat="true" borderId="3" fillId="0" fontId="6" numFmtId="1002" quotePrefix="false">
      <alignment horizontal="center" vertical="top" wrapText="true"/>
      <protection hidden="true"/>
    </xf>
    <xf applyAlignment="true" applyBorder="true" applyFont="true" applyNumberFormat="true" borderId="1" fillId="0" fontId="6" numFmtId="1003" quotePrefix="false">
      <alignment horizontal="center" vertical="top" wrapText="true"/>
      <protection hidden="true"/>
    </xf>
    <xf applyAlignment="true" applyBorder="true" applyFont="true" applyNumberFormat="true" borderId="3" fillId="0" fontId="6" numFmtId="1001" quotePrefix="false">
      <alignment horizontal="center" vertical="top" wrapText="true"/>
      <protection hidden="true"/>
    </xf>
    <xf applyFont="true" applyNumberFormat="true" borderId="0" fillId="0" fontId="7" numFmtId="1000" quotePrefix="false"/>
    <xf applyAlignment="true" applyBorder="true" applyFont="true" applyNumberFormat="true" borderId="1" fillId="0" fontId="5" numFmtId="1002" quotePrefix="false">
      <alignment wrapText="true"/>
      <protection hidden="true"/>
    </xf>
    <xf applyAlignment="true" applyBorder="true" applyFont="true" applyNumberFormat="true" borderId="1" fillId="0" fontId="6" numFmtId="1000" quotePrefix="false">
      <alignment horizontal="center" vertical="top"/>
    </xf>
    <xf applyAlignment="true" applyBorder="true" applyFont="true" applyNumberFormat="true" borderId="1" fillId="0" fontId="6" numFmtId="1002" quotePrefix="false">
      <alignment vertical="top" wrapText="true"/>
      <protection hidden="true"/>
    </xf>
    <xf applyAlignment="true" applyBorder="true" applyFill="true" applyFont="true" applyNumberFormat="true" borderId="1" fillId="2" fontId="6" numFmtId="1001" quotePrefix="false">
      <alignment horizontal="center" vertical="top"/>
    </xf>
    <xf applyAlignment="true" applyBorder="true" applyFill="true" applyFont="true" applyNumberFormat="true" borderId="1" fillId="3" fontId="6" numFmtId="1001" quotePrefix="false">
      <alignment horizontal="center" vertical="top"/>
    </xf>
    <xf applyAlignment="true" applyBorder="true" applyFill="true" applyFont="true" applyNumberFormat="true" borderId="1" fillId="3" fontId="6" numFmtId="1000" quotePrefix="false">
      <alignment horizontal="center" vertical="top"/>
    </xf>
    <xf applyAlignment="true" applyBorder="true" applyFont="true" applyNumberFormat="true" borderId="1" fillId="0" fontId="5" numFmtId="1002" quotePrefix="false">
      <alignment vertical="top" wrapText="true"/>
      <protection hidden="true"/>
    </xf>
    <xf applyAlignment="true" applyBorder="true" applyFont="true" applyNumberFormat="true" borderId="4" fillId="0" fontId="5" numFmtId="1002" quotePrefix="false">
      <alignment wrapText="true"/>
      <protection hidden="true"/>
    </xf>
    <xf applyAlignment="true" applyBorder="true" applyFill="true" applyFont="true" applyNumberFormat="true" borderId="1" fillId="4" fontId="6" numFmtId="1001" quotePrefix="false">
      <alignment horizontal="center" vertical="top"/>
    </xf>
    <xf applyAlignment="true" applyBorder="true" applyFill="true" applyFont="true" applyNumberFormat="true" borderId="1" fillId="4" fontId="6" numFmtId="1000" quotePrefix="false">
      <alignment horizontal="center" vertical="top"/>
    </xf>
    <xf applyAlignment="true" applyBorder="true" applyFill="true" applyFont="true" applyNumberFormat="true" borderId="1" fillId="5" fontId="6" numFmtId="1001" quotePrefix="false">
      <alignment horizontal="center" vertical="top"/>
    </xf>
    <xf applyAlignment="true" applyBorder="true" applyFill="true" applyFont="true" applyNumberFormat="true" borderId="1" fillId="2" fontId="6" numFmtId="1000" quotePrefix="false">
      <alignment horizontal="center" vertical="top"/>
    </xf>
    <xf applyAlignment="true" applyBorder="true" applyFill="true" applyFont="true" applyNumberFormat="true" borderId="1" fillId="6" fontId="6" numFmtId="1000" quotePrefix="false">
      <alignment horizontal="center" vertical="top"/>
    </xf>
    <xf applyAlignment="true" applyBorder="true" applyFont="true" applyNumberFormat="true" borderId="5" fillId="0" fontId="5" numFmtId="1002" quotePrefix="false">
      <alignment wrapText="true"/>
      <protection hidden="true"/>
    </xf>
    <xf applyAlignment="true" applyBorder="true" applyFont="true" applyNumberFormat="true" borderId="5" fillId="0" fontId="6" numFmtId="1000" quotePrefix="false">
      <alignment horizontal="center" vertical="top"/>
    </xf>
    <xf applyAlignment="true" applyBorder="true" applyFont="true" applyNumberFormat="true" borderId="6" fillId="0" fontId="6" numFmtId="1002" quotePrefix="false">
      <alignment vertical="top" wrapText="true"/>
      <protection hidden="true"/>
    </xf>
    <xf applyAlignment="true" applyBorder="true" applyFill="true" applyFont="true" applyNumberFormat="true" borderId="6" fillId="4" fontId="6" numFmtId="1001" quotePrefix="false">
      <alignment horizontal="center" vertical="top"/>
    </xf>
    <xf applyAlignment="true" applyBorder="true" applyFill="true" applyFont="true" applyNumberFormat="true" borderId="6" fillId="5" fontId="6" numFmtId="1001" quotePrefix="false">
      <alignment horizontal="center" vertical="top"/>
    </xf>
    <xf applyAlignment="true" applyBorder="true" applyFill="true" applyFont="true" applyNumberFormat="true" borderId="5" fillId="4" fontId="6" numFmtId="1001" quotePrefix="false">
      <alignment horizontal="center" vertical="top"/>
    </xf>
    <xf applyAlignment="true" applyBorder="true" applyFill="true" applyFont="true" applyNumberFormat="true" borderId="5" fillId="4" fontId="6" numFmtId="1000" quotePrefix="false">
      <alignment horizontal="center" vertical="top"/>
    </xf>
    <xf applyAlignment="true" applyBorder="true" applyFont="true" applyNumberFormat="true" borderId="6" fillId="0" fontId="5" numFmtId="1002" quotePrefix="false">
      <alignment vertical="top" wrapText="true"/>
      <protection hidden="true"/>
    </xf>
    <xf applyBorder="true" applyFont="true" applyNumberFormat="true" borderId="1" fillId="0" fontId="8" numFmtId="1000" quotePrefix="false"/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1" fillId="0" fontId="9" numFmtId="1000" quotePrefix="false">
      <alignment vertical="top"/>
    </xf>
    <xf applyAlignment="true" applyBorder="true" applyFont="true" applyNumberFormat="true" borderId="1" fillId="0" fontId="9" numFmtId="1001" quotePrefix="false">
      <alignment horizontal="center" vertical="top"/>
    </xf>
    <xf applyAlignment="true" applyBorder="true" applyFont="true" applyNumberFormat="true" borderId="1" fillId="0" fontId="9" numFmtId="1001" quotePrefix="false">
      <alignment horizontal="center"/>
    </xf>
    <xf applyAlignment="true" applyBorder="true" applyFont="true" applyNumberFormat="true" borderId="1" fillId="0" fontId="9" numFmtId="1001" quotePrefix="false">
      <alignment vertical="top"/>
    </xf>
    <xf applyBorder="true" applyFont="true" applyNumberFormat="true" borderId="1" fillId="0" fontId="2" numFmtId="1000" quotePrefix="false"/>
    <xf applyAlignment="true" applyBorder="true" applyFont="true" applyNumberFormat="true" borderId="1" fillId="0" fontId="6" numFmtId="1001" quotePrefix="false">
      <alignment vertical="top"/>
    </xf>
    <xf applyAlignment="true" applyFont="true" applyNumberFormat="true" borderId="0" fillId="0" fontId="6" numFmtId="1000" quotePrefix="false">
      <alignment horizontal="center" vertical="top"/>
    </xf>
    <xf applyAlignment="true" applyFont="true" applyNumberFormat="true" borderId="0" fillId="0" fontId="6" numFmtId="1000" quotePrefix="false">
      <alignment vertical="top"/>
    </xf>
    <xf applyAlignment="true" applyFont="true" applyNumberFormat="true" borderId="0" fillId="0" fontId="6" numFmtId="1001" quotePrefix="false">
      <alignment vertical="top"/>
    </xf>
    <xf applyAlignment="true" applyFont="true" applyNumberFormat="true" borderId="0" fillId="0" fontId="10" numFmtId="1003" quotePrefix="false">
      <alignment vertical="top"/>
    </xf>
    <xf applyAlignment="true" applyFill="true" applyFont="true" applyNumberFormat="true" borderId="0" fillId="2" fontId="10" numFmtId="1003" quotePrefix="false">
      <alignment vertical="top"/>
    </xf>
    <xf applyAlignment="true" applyFill="true" applyFont="true" applyNumberFormat="true" borderId="0" fillId="3" fontId="10" numFmtId="1003" quotePrefix="false">
      <alignment vertical="top"/>
    </xf>
    <xf applyAlignment="true" applyFill="true" applyFont="true" applyNumberFormat="true" borderId="0" fillId="4" fontId="10" numFmtId="1003" quotePrefix="false">
      <alignment vertical="top"/>
    </xf>
    <xf applyAlignment="true" applyFill="true" applyFont="true" applyNumberFormat="true" borderId="0" fillId="5" fontId="10" numFmtId="1003" quotePrefix="false">
      <alignment vertical="top"/>
    </xf>
    <xf applyAlignment="true" applyFont="true" applyNumberFormat="true" borderId="0" fillId="0" fontId="2" numFmtId="1000" quotePrefix="false">
      <alignment vertical="top" wrapText="true"/>
    </xf>
    <xf applyAlignment="true" applyBorder="true" applyFont="true" applyNumberFormat="true" borderId="1" fillId="0" fontId="5" numFmtId="1002" quotePrefix="false">
      <alignment horizontal="center" vertical="top" wrapText="true"/>
      <protection hidden="true"/>
    </xf>
    <xf applyAlignment="true" applyBorder="true" applyFont="true" applyNumberFormat="true" borderId="1" fillId="0" fontId="11" numFmtId="1001" quotePrefix="false">
      <alignment horizontal="center" vertical="top" wrapText="true"/>
      <protection hidden="true"/>
    </xf>
    <xf applyAlignment="true" applyBorder="true" applyFont="true" applyNumberFormat="true" borderId="1" fillId="0" fontId="2" numFmtId="1000" quotePrefix="false">
      <alignment vertical="top"/>
    </xf>
    <xf applyAlignment="true" applyBorder="true" applyFont="true" applyNumberFormat="true" borderId="1" fillId="0" fontId="5" numFmtId="1004" quotePrefix="false">
      <alignment horizontal="right" vertical="top"/>
    </xf>
    <xf applyAlignment="true" applyFont="true" applyNumberFormat="true" borderId="0" fillId="0" fontId="5" numFmtId="1002" quotePrefix="false">
      <alignment vertical="top" wrapText="true"/>
      <protection hidden="true"/>
    </xf>
    <xf applyAlignment="true" applyBorder="true" applyFont="true" applyNumberFormat="true" borderId="4" fillId="0" fontId="5" numFmtId="1002" quotePrefix="false">
      <alignment vertical="top" wrapText="true"/>
      <protection hidden="true"/>
    </xf>
    <xf applyAlignment="true" applyFont="true" applyNumberFormat="true" borderId="0" fillId="0" fontId="2" numFmtId="1004" quotePrefix="false">
      <alignment vertical="top"/>
    </xf>
    <xf applyAlignment="true" applyFont="true" applyNumberFormat="true" borderId="0" fillId="0" fontId="12" numFmtId="1002" quotePrefix="false">
      <alignment vertical="top" wrapText="true"/>
      <protection hidden="true"/>
    </xf>
    <xf applyAlignment="true" applyFont="true" applyNumberFormat="true" borderId="0" fillId="0" fontId="8" numFmtId="1004" quotePrefix="false">
      <alignment vertical="top"/>
    </xf>
    <xf applyAlignment="true" applyFont="true" applyNumberFormat="true" borderId="0" fillId="0" fontId="13" numFmtId="1003" quotePrefix="false">
      <alignment vertical="top"/>
    </xf>
    <xf applyAlignment="true" applyFill="true" applyFont="true" applyNumberFormat="true" borderId="0" fillId="2" fontId="13" numFmtId="1003" quotePrefix="false">
      <alignment vertical="top"/>
    </xf>
    <xf applyAlignment="true" applyFill="true" applyFont="true" applyNumberFormat="true" borderId="0" fillId="3" fontId="13" numFmtId="1003" quotePrefix="false">
      <alignment vertical="top"/>
    </xf>
    <xf applyAlignment="true" applyFill="true" applyFont="true" applyNumberFormat="true" borderId="0" fillId="4" fontId="13" numFmtId="1003" quotePrefix="false">
      <alignment vertical="top"/>
    </xf>
    <xf applyAlignment="true" applyFill="true" applyFont="true" applyNumberFormat="true" borderId="0" fillId="5" fontId="13" numFmtId="1003" quotePrefix="false">
      <alignment vertical="top"/>
    </xf>
    <xf applyAlignment="true" applyFont="true" applyNumberFormat="true" borderId="0" fillId="0" fontId="13" numFmtId="1000" quotePrefix="false">
      <alignment horizontal="center" vertical="top"/>
    </xf>
    <xf applyAlignment="true" applyFont="true" applyNumberFormat="true" borderId="0" fillId="0" fontId="13" numFmtId="1000" quotePrefix="false">
      <alignment vertical="top"/>
    </xf>
    <xf applyAlignment="true" applyFont="true" applyNumberFormat="true" borderId="0" fillId="0" fontId="14" numFmtId="1000" quotePrefix="false">
      <alignment vertical="top"/>
    </xf>
    <xf applyAlignment="true" applyFont="true" applyNumberFormat="true" borderId="0" fillId="0" fontId="14" numFmtId="1000" quotePrefix="false">
      <alignment horizontal="center" vertical="top"/>
    </xf>
    <xf applyAlignment="true" applyBorder="true" applyFont="true" applyNumberFormat="true" borderId="1" fillId="0" fontId="13" numFmtId="1003" quotePrefix="false">
      <alignment horizontal="center" vertical="top" wrapText="true"/>
    </xf>
    <xf applyAlignment="true" applyBorder="true" applyFont="true" applyNumberFormat="true" borderId="1" fillId="0" fontId="13" numFmtId="1003" quotePrefix="false">
      <alignment horizontal="center" vertical="top"/>
    </xf>
    <xf applyAlignment="true" applyBorder="true" applyFont="true" applyNumberFormat="true" borderId="7" fillId="0" fontId="13" numFmtId="1003" quotePrefix="false">
      <alignment horizontal="center" vertical="top"/>
    </xf>
    <xf applyAlignment="true" applyBorder="true" applyFont="true" applyNumberFormat="true" borderId="2" fillId="0" fontId="13" numFmtId="1003" quotePrefix="false">
      <alignment horizontal="center" vertical="top"/>
    </xf>
    <xf applyAlignment="true" applyBorder="true" applyFont="true" applyNumberFormat="true" borderId="1" fillId="0" fontId="13" numFmtId="1000" quotePrefix="false">
      <alignment horizontal="center" vertical="top" wrapText="true"/>
    </xf>
    <xf applyAlignment="true" applyBorder="true" applyFont="true" applyNumberFormat="true" borderId="1" fillId="0" fontId="13" numFmtId="1002" quotePrefix="false">
      <alignment horizontal="center" vertical="top" wrapText="true"/>
      <protection hidden="true"/>
    </xf>
    <xf applyAlignment="true" applyBorder="true" applyFont="true" applyNumberFormat="true" borderId="8" fillId="0" fontId="5" numFmtId="1002" quotePrefix="false">
      <alignment horizontal="center" vertical="top" wrapText="true"/>
      <protection hidden="true"/>
    </xf>
    <xf applyAlignment="true" applyBorder="true" applyFont="true" applyNumberFormat="true" borderId="8" fillId="0" fontId="13" numFmtId="1003" quotePrefix="false">
      <alignment horizontal="center" vertical="top" wrapText="true"/>
    </xf>
    <xf applyAlignment="true" applyBorder="true" applyFont="true" applyNumberFormat="true" borderId="8" fillId="0" fontId="13" numFmtId="1000" quotePrefix="false">
      <alignment horizontal="center" vertical="top" wrapText="true"/>
    </xf>
    <xf applyAlignment="true" applyBorder="true" applyFont="true" applyNumberFormat="true" borderId="8" fillId="0" fontId="13" numFmtId="1002" quotePrefix="false">
      <alignment horizontal="center" vertical="top" wrapText="true"/>
      <protection hidden="true"/>
    </xf>
    <xf applyAlignment="true" applyBorder="true" applyFont="true" applyNumberFormat="true" borderId="3" fillId="0" fontId="5" numFmtId="1002" quotePrefix="false">
      <alignment horizontal="center" vertical="top" wrapText="true"/>
      <protection hidden="true"/>
    </xf>
    <xf applyAlignment="true" applyBorder="true" applyFont="true" applyNumberFormat="true" borderId="3" fillId="0" fontId="13" numFmtId="1003" quotePrefix="false">
      <alignment horizontal="center" vertical="top" wrapText="true"/>
    </xf>
    <xf applyAlignment="true" applyBorder="true" applyFont="true" applyNumberFormat="true" borderId="3" fillId="0" fontId="13" numFmtId="1000" quotePrefix="false">
      <alignment horizontal="center" vertical="top" wrapText="true"/>
    </xf>
    <xf applyAlignment="true" applyBorder="true" applyFont="true" applyNumberFormat="true" borderId="3" fillId="0" fontId="13" numFmtId="1002" quotePrefix="false">
      <alignment horizontal="center" vertical="top" wrapText="true"/>
      <protection hidden="true"/>
    </xf>
    <xf applyAlignment="true" applyBorder="true" applyFont="true" applyNumberFormat="true" borderId="1" fillId="0" fontId="13" numFmtId="1000" quotePrefix="false">
      <alignment horizontal="center" vertical="top"/>
    </xf>
    <xf applyAlignment="true" applyBorder="true" applyFont="true" applyNumberFormat="true" borderId="4" fillId="0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3" fontId="13" numFmtId="1004" quotePrefix="false">
      <alignment horizontal="center" vertical="top"/>
    </xf>
    <xf applyAlignment="true" applyFill="true" applyFont="true" applyNumberFormat="true" borderId="0" fillId="4" fontId="13" numFmtId="1003" quotePrefix="false">
      <alignment horizontal="center" vertical="top"/>
    </xf>
    <xf applyAlignment="true" applyBorder="true" applyFill="true" applyFont="true" applyNumberFormat="true" borderId="1" fillId="2" fontId="13" numFmtId="1004" quotePrefix="false">
      <alignment horizontal="center" vertical="top"/>
    </xf>
    <xf applyAlignment="true" applyBorder="true" applyFill="true" applyFont="true" applyNumberFormat="true" borderId="1" fillId="7" fontId="13" numFmtId="1004" quotePrefix="false">
      <alignment horizontal="center" vertical="top" wrapText="true"/>
    </xf>
    <xf applyAlignment="true" applyBorder="true" applyFill="true" applyFont="true" applyNumberFormat="true" borderId="1" fillId="4" fontId="13" numFmtId="1004" quotePrefix="false">
      <alignment horizontal="center" vertical="top"/>
    </xf>
    <xf applyAlignment="true" applyBorder="true" applyFont="true" applyNumberFormat="true" borderId="1" fillId="0" fontId="13" numFmtId="1005" quotePrefix="false">
      <alignment horizontal="center" vertical="top"/>
    </xf>
    <xf applyAlignment="true" applyFont="true" applyNumberFormat="true" borderId="0" fillId="0" fontId="10" numFmtId="1000" quotePrefix="false">
      <alignment horizontal="right" vertical="top"/>
    </xf>
    <xf applyAlignment="true" applyBorder="true" applyFont="true" applyNumberFormat="true" borderId="1" fillId="0" fontId="15" numFmtId="1001" quotePrefix="false">
      <alignment horizontal="center" vertical="top"/>
    </xf>
    <xf applyAlignment="true" applyFont="true" applyNumberFormat="true" borderId="0" fillId="0" fontId="13" numFmtId="1001" quotePrefix="false">
      <alignment horizontal="center" vertical="top"/>
    </xf>
    <xf applyAlignment="true" applyBorder="true" applyFont="true" applyNumberFormat="true" borderId="4" fillId="0" fontId="5" numFmtId="1003" quotePrefix="false">
      <alignment horizontal="center" vertical="top" wrapText="true"/>
      <protection hidden="true"/>
    </xf>
    <xf applyAlignment="true" applyFill="true" applyFont="true" applyNumberFormat="true" borderId="0" fillId="5" fontId="13" numFmtId="1003" quotePrefix="false">
      <alignment horizontal="center" vertical="top"/>
    </xf>
    <xf applyAlignment="true" applyFill="true" applyFont="true" applyNumberFormat="true" borderId="0" fillId="3" fontId="13" numFmtId="1003" quotePrefix="false">
      <alignment horizontal="center" vertical="top"/>
    </xf>
    <xf applyAlignment="true" applyBorder="true" applyFont="true" applyNumberFormat="true" borderId="1" fillId="0" fontId="16" numFmtId="1001" quotePrefix="false">
      <alignment horizontal="center" vertical="top"/>
    </xf>
    <xf applyAlignment="true" applyFont="true" applyNumberFormat="true" borderId="0" fillId="0" fontId="16" numFmtId="1001" quotePrefix="false">
      <alignment horizontal="center" vertical="top"/>
    </xf>
    <xf applyAlignment="true" applyFont="true" applyNumberFormat="true" borderId="0" fillId="0" fontId="16" numFmtId="1000" quotePrefix="false">
      <alignment horizontal="center" vertical="top"/>
    </xf>
    <xf applyAlignment="true" applyBorder="true" applyFont="true" applyNumberFormat="true" borderId="4" fillId="0" fontId="17" numFmtId="1003" quotePrefix="false">
      <alignment horizontal="center" vertical="top" wrapText="true"/>
      <protection hidden="true"/>
    </xf>
    <xf applyAlignment="true" applyBorder="true" applyFont="true" applyNumberFormat="true" borderId="1" fillId="0" fontId="17" numFmtId="1002" quotePrefix="false">
      <alignment vertical="top" wrapText="true"/>
      <protection hidden="true"/>
    </xf>
    <xf applyAlignment="true" applyFont="true" applyNumberFormat="true" borderId="0" fillId="0" fontId="16" numFmtId="1000" quotePrefix="false">
      <alignment vertical="top"/>
    </xf>
    <xf applyAlignment="true" applyFill="true" applyFont="true" applyNumberFormat="true" borderId="0" fillId="2" fontId="13" numFmtId="1003" quotePrefix="false">
      <alignment horizontal="center" vertical="top"/>
    </xf>
    <xf applyAlignment="true" applyBorder="true" applyFill="true" applyFont="true" applyNumberFormat="true" borderId="1" fillId="5" fontId="13" numFmtId="1004" quotePrefix="false">
      <alignment horizontal="center" vertical="top"/>
    </xf>
    <xf applyAlignment="true" applyBorder="true" applyFill="true" applyFont="true" applyNumberFormat="true" borderId="1" fillId="7" fontId="13" numFmtId="1004" quotePrefix="false">
      <alignment horizontal="center" vertical="top"/>
    </xf>
    <xf applyAlignment="true" applyBorder="true" applyFill="true" applyFont="true" applyNumberFormat="true" borderId="1" fillId="4" fontId="13" numFmtId="1003" quotePrefix="false">
      <alignment horizontal="center" vertical="top"/>
    </xf>
    <xf applyAlignment="true" applyBorder="true" applyFont="true" applyNumberFormat="true" borderId="1" fillId="0" fontId="14" numFmtId="1000" quotePrefix="false">
      <alignment horizontal="center" vertical="top"/>
    </xf>
    <xf applyAlignment="true" applyBorder="true" applyFont="true" applyNumberFormat="true" borderId="1" fillId="0" fontId="14" numFmtId="1003" quotePrefix="false">
      <alignment horizontal="left" vertical="top"/>
    </xf>
    <xf applyAlignment="true" applyBorder="true" applyFont="true" applyNumberFormat="true" borderId="1" fillId="0" fontId="14" numFmtId="1001" quotePrefix="false">
      <alignment horizontal="center" vertical="top"/>
    </xf>
    <xf applyAlignment="true" applyBorder="true" applyFont="true" applyNumberFormat="true" borderId="1" fillId="0" fontId="13" numFmtId="1001" quotePrefix="false">
      <alignment horizontal="center" vertical="top" wrapText="true"/>
    </xf>
    <xf applyAlignment="true" applyFont="true" applyNumberFormat="true" borderId="0" fillId="0" fontId="13" numFmtId="1006" quotePrefix="false">
      <alignment vertical="top"/>
    </xf>
    <xf applyAlignment="true" applyFont="true" applyNumberFormat="true" borderId="0" fillId="0" fontId="18" numFmtId="1000" quotePrefix="false">
      <alignment horizontal="center" vertical="top"/>
    </xf>
    <xf applyAlignment="true" applyBorder="true" applyFont="true" applyNumberFormat="true" borderId="1" fillId="0" fontId="10" numFmtId="1002" quotePrefix="false">
      <alignment horizontal="left" vertical="top" wrapText="true"/>
      <protection hidden="true"/>
    </xf>
    <xf applyAlignment="true" applyBorder="true" applyFill="true" applyFont="true" applyNumberFormat="true" borderId="1" fillId="4" fontId="10" numFmtId="1000" quotePrefix="false">
      <alignment horizontal="center" vertical="top" wrapText="true"/>
    </xf>
    <xf applyAlignment="true" applyBorder="true" applyFill="true" applyFont="true" applyNumberFormat="true" borderId="1" fillId="3" fontId="10" numFmtId="1000" quotePrefix="false">
      <alignment horizontal="center" vertical="top" wrapText="true"/>
    </xf>
    <xf applyAlignment="true" applyBorder="true" applyFill="true" applyFont="true" applyNumberFormat="true" borderId="1" fillId="2" fontId="10" numFmtId="1000" quotePrefix="false">
      <alignment horizontal="center" vertical="top" wrapText="true"/>
    </xf>
    <xf applyAlignment="true" applyBorder="true" applyFill="true" applyFont="true" applyNumberFormat="true" borderId="1" fillId="3" fontId="10" numFmtId="1001" quotePrefix="false">
      <alignment horizontal="center" vertical="top" wrapText="true"/>
    </xf>
    <xf applyAlignment="true" applyBorder="true" applyFont="true" applyNumberFormat="true" borderId="1" fillId="0" fontId="10" numFmtId="1001" quotePrefix="false">
      <alignment horizontal="center" vertical="top"/>
    </xf>
    <xf applyAlignment="true" applyBorder="true" applyFill="true" applyFont="true" applyNumberFormat="true" borderId="1" fillId="2" fontId="10" numFmtId="1001" quotePrefix="false">
      <alignment horizontal="center" vertical="top"/>
    </xf>
    <xf applyAlignment="true" applyBorder="true" applyFont="true" applyNumberFormat="true" borderId="1" fillId="0" fontId="10" numFmtId="1000" quotePrefix="false">
      <alignment horizontal="center" vertical="top" wrapText="true"/>
    </xf>
    <xf applyAlignment="true" applyBorder="true" applyFill="true" applyFont="true" applyNumberFormat="true" borderId="1" fillId="5" fontId="10" numFmtId="1000" quotePrefix="false">
      <alignment horizontal="center" vertical="top" wrapText="true"/>
    </xf>
    <xf applyAlignment="true" applyBorder="true" applyFill="true" applyFont="true" applyNumberFormat="true" borderId="1" fillId="8" fontId="10" numFmtId="1001" quotePrefix="false">
      <alignment horizontal="center" vertical="top" wrapText="true"/>
    </xf>
    <xf applyAlignment="true" applyBorder="true" applyFill="true" applyFont="true" applyNumberFormat="true" borderId="1" fillId="3" fontId="10" numFmtId="1001" quotePrefix="false">
      <alignment horizontal="center" vertical="top"/>
    </xf>
    <xf applyAlignment="true" applyFont="true" applyNumberFormat="true" borderId="0" fillId="0" fontId="15" numFmtId="1000" quotePrefix="false">
      <alignment horizontal="center" vertical="top"/>
    </xf>
    <xf applyAlignment="true" applyBorder="true" applyFont="true" applyNumberFormat="true" borderId="4" fillId="0" fontId="15" numFmtId="1002" quotePrefix="false">
      <alignment horizontal="left" vertical="top" wrapText="true"/>
      <protection hidden="true"/>
    </xf>
    <xf applyAlignment="true" applyBorder="true" applyFill="true" applyFont="true" applyNumberFormat="true" borderId="1" fillId="4" fontId="15" numFmtId="1000" quotePrefix="false">
      <alignment horizontal="center" vertical="top" wrapText="true"/>
    </xf>
    <xf applyAlignment="true" applyBorder="true" applyFill="true" applyFont="true" applyNumberFormat="true" borderId="1" fillId="3" fontId="15" numFmtId="1000" quotePrefix="false">
      <alignment horizontal="center" vertical="top" wrapText="true"/>
    </xf>
    <xf applyAlignment="true" applyBorder="true" applyFill="true" applyFont="true" applyNumberFormat="true" borderId="1" fillId="2" fontId="15" numFmtId="1000" quotePrefix="false">
      <alignment horizontal="center" vertical="top" wrapText="true"/>
    </xf>
    <xf applyAlignment="true" applyBorder="true" applyFont="true" applyNumberFormat="true" borderId="1" fillId="0" fontId="15" numFmtId="1000" quotePrefix="false">
      <alignment horizontal="center" vertical="top" wrapText="true"/>
    </xf>
    <xf applyAlignment="true" applyBorder="true" applyFill="true" applyFont="true" applyNumberFormat="true" borderId="1" fillId="8" fontId="15" numFmtId="1001" quotePrefix="false">
      <alignment horizontal="center" vertical="top" wrapText="true"/>
    </xf>
    <xf applyAlignment="true" applyBorder="true" applyFill="true" applyFont="true" applyNumberFormat="true" borderId="1" fillId="3" fontId="15" numFmtId="1001" quotePrefix="false">
      <alignment horizontal="center" vertical="top"/>
    </xf>
    <xf applyAlignment="true" applyFont="true" applyNumberFormat="true" borderId="0" fillId="0" fontId="15" numFmtId="1001" quotePrefix="false">
      <alignment horizontal="center" vertical="top"/>
    </xf>
    <xf applyAlignment="true" applyBorder="true" applyFont="true" applyNumberFormat="true" borderId="1" fillId="0" fontId="10" numFmtId="1002" quotePrefix="false">
      <alignment vertical="top" wrapText="true"/>
      <protection hidden="true"/>
    </xf>
    <xf applyAlignment="true" applyBorder="true" applyFill="true" applyFont="true" applyNumberFormat="true" borderId="1" fillId="8" fontId="10" numFmtId="1001" quotePrefix="false">
      <alignment horizontal="center" vertical="top"/>
    </xf>
    <xf applyAlignment="true" applyBorder="true" applyFill="true" applyFont="true" applyNumberFormat="true" borderId="1" fillId="2" fontId="10" numFmtId="1001" quotePrefix="false">
      <alignment horizontal="center" vertical="top" wrapText="true"/>
    </xf>
    <xf applyAlignment="true" applyBorder="true" applyFill="true" applyFont="true" applyNumberFormat="true" borderId="1" fillId="5" fontId="10" numFmtId="1001" quotePrefix="false">
      <alignment horizontal="center" vertical="top" wrapText="true"/>
    </xf>
    <xf applyAlignment="true" applyBorder="true" applyFont="true" applyNumberFormat="true" borderId="5" fillId="0" fontId="10" numFmtId="1002" quotePrefix="false">
      <alignment horizontal="left" vertical="top" wrapText="true"/>
      <protection hidden="true"/>
    </xf>
    <xf applyAlignment="true" applyBorder="true" applyFill="true" applyFont="true" applyNumberFormat="true" borderId="5" fillId="4" fontId="10" numFmtId="1000" quotePrefix="false">
      <alignment horizontal="center" vertical="top" wrapText="true"/>
    </xf>
    <xf applyAlignment="true" applyBorder="true" applyFill="true" applyFont="true" applyNumberFormat="true" borderId="5" fillId="2" fontId="10" numFmtId="1000" quotePrefix="false">
      <alignment horizontal="center" vertical="top" wrapText="true"/>
    </xf>
    <xf applyAlignment="true" applyBorder="true" applyFill="true" applyFont="true" applyNumberFormat="true" borderId="5" fillId="5" fontId="10" numFmtId="1000" quotePrefix="false">
      <alignment horizontal="center" vertical="top" wrapText="true"/>
    </xf>
    <xf applyAlignment="true" applyBorder="true" applyFill="true" applyFont="true" applyNumberFormat="true" borderId="5" fillId="3" fontId="10" numFmtId="1000" quotePrefix="false">
      <alignment horizontal="center" vertical="top" wrapText="true"/>
    </xf>
    <xf applyAlignment="true" applyBorder="true" applyFont="true" applyNumberFormat="true" borderId="5" fillId="0" fontId="10" numFmtId="1000" quotePrefix="false">
      <alignment horizontal="center" vertical="top" wrapText="true"/>
    </xf>
    <xf applyAlignment="true" applyBorder="true" applyFill="true" applyFont="true" applyNumberFormat="true" borderId="5" fillId="8" fontId="10" numFmtId="1001" quotePrefix="false">
      <alignment horizontal="center" vertical="top" wrapText="true"/>
    </xf>
    <xf applyAlignment="true" applyBorder="true" applyFont="true" applyNumberFormat="true" borderId="5" fillId="0" fontId="10" numFmtId="1001" quotePrefix="false">
      <alignment horizontal="center" vertical="top"/>
    </xf>
    <xf applyAlignment="true" applyBorder="true" applyFill="true" applyFont="true" applyNumberFormat="true" borderId="5" fillId="5" fontId="10" numFmtId="1001" quotePrefix="false">
      <alignment horizontal="center" vertical="top"/>
    </xf>
    <xf applyAlignment="true" applyBorder="true" applyFont="true" applyNumberFormat="true" borderId="5" fillId="0" fontId="15" numFmtId="1001" quotePrefix="false">
      <alignment horizontal="center" vertical="top"/>
    </xf>
    <xf applyAlignment="true" applyBorder="true" applyFont="true" applyNumberFormat="true" borderId="1" fillId="0" fontId="19" numFmtId="1003" quotePrefix="false">
      <alignment horizontal="left" vertical="top"/>
    </xf>
    <xf applyAlignment="true" applyBorder="true" applyFont="true" applyNumberFormat="true" borderId="1" fillId="0" fontId="19" numFmtId="1001" quotePrefix="false">
      <alignment horizontal="center" vertical="top"/>
    </xf>
    <xf applyAlignment="true" applyFont="true" applyNumberFormat="true" borderId="0" fillId="0" fontId="2" numFmtId="1000" quotePrefix="false">
      <alignment wrapText="true"/>
    </xf>
    <xf applyAlignment="true" applyFont="true" applyNumberFormat="true" borderId="0" fillId="0" fontId="20" numFmtId="1000" quotePrefix="false">
      <alignment horizontal="center" vertical="top"/>
    </xf>
    <xf applyAlignment="true" applyBorder="true" applyFont="true" applyNumberFormat="true" borderId="1" fillId="0" fontId="11" numFmtId="1002" quotePrefix="false">
      <alignment horizontal="center" vertical="top" wrapText="true"/>
      <protection hidden="true"/>
    </xf>
    <xf applyAlignment="true" applyBorder="true" applyFont="true" applyNumberFormat="true" borderId="1" fillId="0" fontId="2" numFmtId="1004" quotePrefix="false">
      <alignment vertical="top"/>
    </xf>
    <xf applyBorder="true" applyFont="true" applyNumberFormat="true" borderId="1" fillId="0" fontId="7" numFmtId="1000" quotePrefix="false"/>
    <xf applyAlignment="true" applyBorder="true" applyFont="true" applyNumberFormat="true" borderId="1" fillId="0" fontId="5" numFmtId="1003" quotePrefix="false">
      <alignment horizontal="center" vertical="top" wrapText="true"/>
      <protection hidden="true"/>
    </xf>
    <xf applyAlignment="true" applyBorder="true" applyFont="true" applyNumberFormat="true" borderId="4" fillId="0" fontId="5" numFmtId="1000" quotePrefix="false">
      <alignment horizontal="center" vertical="top" wrapText="true"/>
      <protection hidden="true"/>
    </xf>
    <xf applyAlignment="true" applyFont="true" applyNumberFormat="true" borderId="0" fillId="0" fontId="8" numFmtId="1000" quotePrefix="false">
      <alignment vertical="top"/>
    </xf>
    <xf applyAlignment="true" applyFont="true" applyNumberFormat="true" borderId="0" fillId="0" fontId="5" numFmtId="1000" quotePrefix="false">
      <alignment vertical="top" wrapText="true"/>
    </xf>
    <xf applyAlignment="true" applyFont="true" applyNumberFormat="true" borderId="0" fillId="0" fontId="5" numFmtId="1007" quotePrefix="false">
      <alignment vertical="top"/>
    </xf>
    <xf applyAlignment="true" applyFont="true" applyNumberFormat="true" borderId="0" fillId="0" fontId="5" numFmtId="1000" quotePrefix="false">
      <alignment vertical="top"/>
    </xf>
    <xf applyAlignment="true" applyBorder="true" applyFont="true" applyNumberFormat="true" borderId="9" fillId="0" fontId="5" numFmtId="1000" quotePrefix="false">
      <alignment horizontal="center" vertical="top" wrapText="true"/>
    </xf>
    <xf applyAlignment="true" applyBorder="true" applyFont="true" applyNumberFormat="true" borderId="9" fillId="0" fontId="21" numFmtId="1000" quotePrefix="false">
      <alignment horizontal="center" vertical="top" wrapText="true"/>
    </xf>
    <xf applyAlignment="true" applyBorder="true" applyFont="true" applyNumberFormat="true" borderId="10" fillId="0" fontId="21" numFmtId="1000" quotePrefix="false">
      <alignment horizontal="center" vertical="top" wrapText="true"/>
    </xf>
    <xf applyAlignment="true" applyBorder="true" applyFont="true" applyNumberFormat="true" borderId="11" fillId="0" fontId="21" numFmtId="1000" quotePrefix="false">
      <alignment horizontal="center" vertical="top" wrapText="true"/>
    </xf>
    <xf applyAlignment="true" applyFill="true" applyFont="true" applyNumberFormat="true" borderId="0" fillId="9" fontId="22" numFmtId="1000" quotePrefix="false">
      <alignment vertical="top"/>
    </xf>
    <xf applyAlignment="true" applyBorder="true" applyFill="true" applyFont="true" applyNumberFormat="true" borderId="12" fillId="9" fontId="5" numFmtId="1000" quotePrefix="false">
      <alignment horizontal="center" vertical="top" wrapText="true"/>
    </xf>
    <xf applyAlignment="true" applyBorder="true" applyFill="true" applyFont="true" applyNumberFormat="true" borderId="13" fillId="9" fontId="22" numFmtId="1007" quotePrefix="false">
      <alignment horizontal="center" vertical="top" wrapText="true"/>
    </xf>
    <xf applyAlignment="true" applyBorder="true" applyFill="true" applyFont="true" applyNumberFormat="true" borderId="1" fillId="9" fontId="22" numFmtId="1007" quotePrefix="false">
      <alignment horizontal="center" vertical="top" wrapText="true"/>
    </xf>
    <xf applyAlignment="true" applyBorder="true" applyFill="true" applyFont="true" applyNumberFormat="true" borderId="1" fillId="9" fontId="22" numFmtId="1000" quotePrefix="false">
      <alignment horizontal="center" vertical="top" wrapText="true"/>
    </xf>
    <xf applyAlignment="true" applyBorder="true" applyFill="true" applyFont="true" applyNumberFormat="true" borderId="14" fillId="9" fontId="22" numFmtId="1000" quotePrefix="false">
      <alignment horizontal="center" vertical="top" wrapText="true"/>
    </xf>
    <xf applyAlignment="true" applyBorder="true" applyFill="true" applyFont="true" applyNumberFormat="true" borderId="15" fillId="9" fontId="22" numFmtId="1007" quotePrefix="false">
      <alignment horizontal="center" vertical="top" wrapText="true"/>
    </xf>
    <xf applyAlignment="true" applyFont="true" applyNumberFormat="true" borderId="0" fillId="0" fontId="12" numFmtId="1000" quotePrefix="false">
      <alignment vertical="top"/>
    </xf>
    <xf applyAlignment="true" applyBorder="true" applyFill="true" applyFont="true" applyNumberFormat="true" borderId="12" fillId="3" fontId="12" numFmtId="1000" quotePrefix="false">
      <alignment vertical="top" wrapText="true"/>
    </xf>
    <xf applyAlignment="true" applyBorder="true" applyFill="true" applyFont="true" applyNumberFormat="true" borderId="13" fillId="3" fontId="12" numFmtId="1007" quotePrefix="false">
      <alignment vertical="top"/>
    </xf>
    <xf applyAlignment="true" applyBorder="true" applyFill="true" applyFont="true" applyNumberFormat="true" borderId="1" fillId="3" fontId="12" numFmtId="1000" quotePrefix="false">
      <alignment vertical="top"/>
    </xf>
    <xf applyAlignment="true" applyBorder="true" applyFill="true" applyFont="true" applyNumberFormat="true" borderId="14" fillId="3" fontId="12" numFmtId="1000" quotePrefix="false">
      <alignment vertical="top"/>
    </xf>
    <xf applyAlignment="true" applyFill="true" applyFont="true" applyNumberFormat="true" borderId="0" fillId="9" fontId="23" numFmtId="1000" quotePrefix="false">
      <alignment vertical="top"/>
    </xf>
    <xf applyAlignment="true" applyBorder="true" applyFill="true" applyFont="true" applyNumberFormat="true" borderId="12" fillId="9" fontId="5" numFmtId="1000" quotePrefix="false">
      <alignment vertical="top" wrapText="true"/>
    </xf>
    <xf applyAlignment="true" applyBorder="true" applyFill="true" applyFont="true" applyNumberFormat="true" borderId="13" fillId="9" fontId="5" numFmtId="1007" quotePrefix="false">
      <alignment vertical="top"/>
    </xf>
    <xf applyAlignment="true" applyBorder="true" applyFill="true" applyFont="true" applyNumberFormat="true" borderId="1" fillId="9" fontId="5" numFmtId="1000" quotePrefix="false">
      <alignment vertical="top"/>
    </xf>
    <xf applyAlignment="true" applyBorder="true" applyFill="true" applyFont="true" applyNumberFormat="true" borderId="14" fillId="9" fontId="5" numFmtId="1000" quotePrefix="false">
      <alignment vertical="top"/>
    </xf>
    <xf applyAlignment="true" applyBorder="true" applyFill="true" applyFont="true" applyNumberFormat="true" borderId="1" fillId="9" fontId="5" numFmtId="1000" quotePrefix="false">
      <alignment horizontal="right" vertical="top"/>
    </xf>
    <xf applyAlignment="true" applyBorder="true" applyFont="true" applyNumberFormat="true" borderId="12" fillId="0" fontId="5" numFmtId="1000" quotePrefix="false">
      <alignment vertical="top" wrapText="true"/>
    </xf>
    <xf applyAlignment="true" applyBorder="true" applyFont="true" applyNumberFormat="true" borderId="13" fillId="0" fontId="5" numFmtId="1007" quotePrefix="false">
      <alignment vertical="top"/>
    </xf>
    <xf applyAlignment="true" applyBorder="true" applyFont="true" applyNumberFormat="true" borderId="1" fillId="0" fontId="5" numFmtId="1000" quotePrefix="false">
      <alignment vertical="top"/>
    </xf>
    <xf applyAlignment="true" applyBorder="true" applyFont="true" applyNumberFormat="true" borderId="14" fillId="0" fontId="5" numFmtId="1000" quotePrefix="false">
      <alignment vertical="top"/>
    </xf>
    <xf applyAlignment="true" applyFill="true" applyFont="true" applyNumberFormat="true" borderId="0" fillId="9" fontId="5" numFmtId="1000" quotePrefix="false">
      <alignment vertical="top"/>
    </xf>
    <xf applyAlignment="true" applyFill="true" applyFont="true" applyNumberFormat="true" borderId="0" fillId="9" fontId="6" numFmtId="1000" quotePrefix="false">
      <alignment vertical="top"/>
    </xf>
    <xf applyAlignment="true" applyBorder="true" applyFont="true" applyNumberFormat="true" borderId="1" fillId="0" fontId="5" numFmtId="1000" quotePrefix="false">
      <alignment horizontal="right" vertical="top"/>
    </xf>
    <xf applyAlignment="true" applyFont="true" applyNumberFormat="true" borderId="0" fillId="0" fontId="9" numFmtId="1000" quotePrefix="false">
      <alignment vertical="top"/>
    </xf>
    <xf applyAlignment="true" applyFill="true" applyFont="true" applyNumberFormat="true" borderId="0" fillId="3" fontId="9" numFmtId="1000" quotePrefix="false">
      <alignment vertical="top"/>
    </xf>
    <xf applyAlignment="true" applyBorder="true" applyFill="true" applyFont="true" applyNumberFormat="true" borderId="16" fillId="3" fontId="12" numFmtId="1000" quotePrefix="false">
      <alignment vertical="top" wrapText="true"/>
    </xf>
    <xf applyAlignment="true" applyBorder="true" applyFill="true" applyFont="true" applyNumberFormat="true" borderId="17" fillId="3" fontId="12" numFmtId="1007" quotePrefix="false">
      <alignment vertical="top"/>
    </xf>
    <xf applyAlignment="true" applyBorder="true" applyFill="true" applyFont="true" applyNumberFormat="true" borderId="1" fillId="3" fontId="12" numFmtId="1007" quotePrefix="false">
      <alignment vertical="top"/>
    </xf>
    <xf applyAlignment="true" applyBorder="true" applyFill="true" applyFont="true" applyNumberFormat="true" borderId="18" fillId="3" fontId="12" numFmtId="1004" quotePrefix="false">
      <alignment vertical="top"/>
    </xf>
    <xf applyAlignment="true" applyFont="true" applyNumberFormat="true" borderId="0" fillId="0" fontId="24" numFmtId="1000" quotePrefix="false">
      <alignment vertical="top"/>
    </xf>
    <xf applyAlignment="true" applyFont="true" applyNumberFormat="true" borderId="0" fillId="0" fontId="24" numFmtId="1000" quotePrefix="false">
      <alignment horizontal="center" vertical="top" wrapText="true"/>
    </xf>
    <xf applyAlignment="true" applyFont="true" applyNumberFormat="true" borderId="0" fillId="0" fontId="25" numFmtId="1000" quotePrefix="false">
      <alignment horizontal="center" vertical="top" wrapText="true"/>
    </xf>
    <xf applyAlignment="true" applyFont="true" applyNumberFormat="true" borderId="0" fillId="0" fontId="2" numFmtId="1000" quotePrefix="false">
      <alignment horizontal="right" vertical="top"/>
    </xf>
    <xf applyBorder="true" applyFill="true" applyFont="true" applyNumberFormat="true" borderId="1" fillId="10" fontId="26" numFmtId="1000" quotePrefix="false"/>
    <xf applyBorder="true" applyFill="true" applyFont="true" applyNumberFormat="true" borderId="1" fillId="10" fontId="27" numFmtId="1008" quotePrefix="false">
      <protection hidden="true"/>
    </xf>
    <xf applyAlignment="true" applyBorder="true" applyFill="true" applyFont="true" applyNumberFormat="true" borderId="1" fillId="10" fontId="5" numFmtId="1000" quotePrefix="false">
      <alignment vertical="top"/>
    </xf>
    <xf applyBorder="true" applyFill="true" applyFont="true" applyNumberFormat="true" borderId="4" fillId="10" fontId="27" numFmtId="1008" quotePrefix="false">
      <protection hidden="true"/>
    </xf>
    <xf applyBorder="true" applyFill="true" applyFont="true" applyNumberFormat="true" borderId="19" fillId="10" fontId="27" numFmtId="1008" quotePrefix="false">
      <protection hidden="true"/>
    </xf>
    <xf applyAlignment="true" applyFont="true" applyNumberFormat="true" borderId="0" fillId="0" fontId="5" numFmtId="1008" quotePrefix="false">
      <alignment vertical="top"/>
      <protection hidden="true"/>
    </xf>
    <xf applyAlignment="true" applyFont="true" applyNumberFormat="true" borderId="0" fillId="0" fontId="12" numFmtId="1008" quotePrefix="false">
      <alignment vertical="top"/>
      <protection hidden="true"/>
    </xf>
    <xf applyAlignment="true" applyFont="true" applyNumberFormat="true" borderId="0" fillId="0" fontId="2" numFmtId="1008" quotePrefix="false">
      <alignment vertical="top"/>
    </xf>
    <xf applyAlignment="true" applyFont="true" applyNumberFormat="true" borderId="0" fillId="0" fontId="28" numFmtId="1000" quotePrefix="false">
      <alignment vertical="top"/>
    </xf>
    <xf applyAlignment="true" applyFont="true" applyNumberFormat="true" borderId="0" fillId="0" fontId="5" numFmtId="1002" quotePrefix="false">
      <alignment horizontal="center" vertical="top" wrapText="true"/>
      <protection hidden="true"/>
    </xf>
    <xf applyAlignment="true" applyFont="true" applyNumberFormat="true" borderId="0" fillId="0" fontId="29" numFmtId="1000" quotePrefix="false">
      <alignment vertical="top" wrapText="true"/>
    </xf>
    <xf applyAlignment="true" applyBorder="true" applyFill="true" applyFont="true" applyNumberFormat="true" borderId="1" fillId="11" fontId="5" numFmtId="1002" quotePrefix="false">
      <alignment vertical="top" wrapText="true"/>
      <protection hidden="true"/>
    </xf>
    <xf applyAlignment="true" applyBorder="true" applyFill="true" applyFont="true" applyNumberFormat="true" borderId="1" fillId="11" fontId="5" numFmtId="1001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1" quotePrefix="false">
      <alignment vertical="top"/>
    </xf>
    <xf applyAlignment="true" applyBorder="true" applyFill="true" applyFont="true" applyNumberFormat="true" borderId="1" fillId="11" fontId="2" numFmtId="1000" quotePrefix="false">
      <alignment vertical="top"/>
    </xf>
    <xf applyAlignment="true" applyBorder="true" applyFont="true" applyNumberFormat="true" borderId="1" fillId="0" fontId="5" numFmtId="1008" quotePrefix="false">
      <alignment vertical="top"/>
      <protection hidden="true"/>
    </xf>
    <xf applyAlignment="true" applyFont="true" applyNumberFormat="true" borderId="0" fillId="0" fontId="1" numFmtId="1000" quotePrefix="false">
      <alignment horizontal="left"/>
    </xf>
    <xf applyAlignment="true" applyFill="true" applyFont="true" applyNumberFormat="true" borderId="0" fillId="11" fontId="2" numFmtId="1000" quotePrefix="false">
      <alignment vertical="top" wrapText="true"/>
    </xf>
    <xf applyAlignment="true" applyBorder="true" applyFill="true" applyFont="true" applyNumberFormat="true" borderId="1" fillId="11" fontId="5" numFmtId="1000" quotePrefix="false">
      <alignment vertical="top"/>
    </xf>
    <xf applyAlignment="true" applyBorder="true" applyFill="true" applyFont="true" applyNumberFormat="true" borderId="1" fillId="9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7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1" quotePrefix="false">
      <alignment vertical="top"/>
      <protection hidden="true"/>
    </xf>
    <xf applyAlignment="true" applyBorder="true" applyFill="true" applyFont="true" applyNumberFormat="true" borderId="1" fillId="11" fontId="5" numFmtId="1001" quotePrefix="false">
      <alignment horizontal="center" vertical="top"/>
      <protection hidden="true"/>
    </xf>
    <xf applyAlignment="true" applyBorder="true" applyFill="true" applyFont="true" applyNumberFormat="true" borderId="1" fillId="7" fontId="5" numFmtId="1000" quotePrefix="false">
      <alignment vertical="top"/>
    </xf>
    <xf applyFont="true" applyNumberFormat="true" borderId="0" fillId="0" fontId="27" numFmtId="1001" quotePrefix="false">
      <protection hidden="true"/>
    </xf>
    <xf applyAlignment="true" applyFont="true" applyNumberFormat="true" borderId="0" fillId="0" fontId="2" numFmtId="1009" quotePrefix="false">
      <alignment vertical="top"/>
    </xf>
    <xf applyAlignment="true" applyFont="true" applyNumberFormat="true" borderId="0" fillId="0" fontId="24" numFmtId="1000" quotePrefix="false">
      <alignment vertical="top" wrapText="true"/>
    </xf>
    <xf applyAlignment="true" applyFont="true" applyNumberFormat="true" borderId="0" fillId="0" fontId="25" numFmtId="1000" quotePrefix="false">
      <alignment vertical="top" wrapText="true"/>
    </xf>
    <xf applyAlignment="true" applyFont="true" applyNumberFormat="true" borderId="0" fillId="0" fontId="28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8" quotePrefix="false">
      <alignment vertical="top"/>
      <protection hidden="true"/>
    </xf>
    <xf applyAlignment="true" applyBorder="true" applyFill="true" applyFont="true" applyNumberFormat="true" borderId="1" fillId="11" fontId="5" numFmtId="1000" quotePrefix="false">
      <alignment horizontal="right" vertical="top"/>
    </xf>
    <xf applyAlignment="true" applyBorder="true" applyFont="true" applyNumberFormat="true" borderId="1" fillId="0" fontId="17" numFmtId="1008" quotePrefix="false">
      <alignment vertical="top"/>
      <protection hidden="true"/>
    </xf>
    <xf applyAlignment="true" applyBorder="true" applyFont="true" applyNumberFormat="true" borderId="1" fillId="0" fontId="17" numFmtId="1000" quotePrefix="false">
      <alignment vertical="top"/>
    </xf>
    <xf applyAlignment="true" applyFont="true" applyNumberFormat="true" borderId="0" fillId="0" fontId="17" numFmtId="1001" quotePrefix="false">
      <alignment vertical="top"/>
    </xf>
    <xf applyAlignment="true" applyFont="true" applyNumberFormat="true" borderId="0" fillId="0" fontId="8" numFmtId="1001" quotePrefix="false">
      <alignment vertical="top"/>
    </xf>
    <xf applyAlignment="true" applyBorder="true" applyFill="true" applyFont="true" applyNumberFormat="true" borderId="4" fillId="11" fontId="5" numFmtId="1002" quotePrefix="false">
      <alignment vertical="top" wrapText="true"/>
      <protection hidden="true"/>
    </xf>
    <xf applyAlignment="true" applyBorder="true" applyFill="true" applyFont="true" applyNumberFormat="true" borderId="1" fillId="11" fontId="5" numFmtId="1004" quotePrefix="false">
      <alignment vertical="top"/>
    </xf>
    <xf applyAlignment="true" applyFont="true" applyNumberFormat="true" borderId="0" fillId="0" fontId="17" numFmtId="1002" quotePrefix="false">
      <alignment vertical="top" wrapText="true"/>
      <protection hidden="true"/>
    </xf>
    <xf applyAlignment="true" applyFont="true" applyNumberFormat="true" borderId="0" fillId="0" fontId="17" numFmtId="1001" quotePrefix="false">
      <alignment horizontal="right" vertical="top" wrapText="true"/>
    </xf>
    <xf applyAlignment="true" applyFont="true" applyNumberFormat="true" borderId="0" fillId="0" fontId="17" numFmtId="1000" quotePrefix="false">
      <alignment vertical="top"/>
    </xf>
    <xf applyAlignment="true" applyFont="true" applyNumberFormat="true" borderId="0" fillId="0" fontId="17" numFmtId="1008" quotePrefix="false">
      <alignment vertical="top"/>
      <protection hidden="true"/>
    </xf>
    <xf applyAlignment="true" applyFont="true" applyNumberFormat="true" borderId="0" fillId="0" fontId="30" numFmtId="1002" quotePrefix="false">
      <alignment vertical="top" wrapText="true"/>
      <protection hidden="true"/>
    </xf>
    <xf applyAlignment="true" applyFont="true" applyNumberFormat="true" borderId="0" fillId="0" fontId="30" numFmtId="1008" quotePrefix="false">
      <alignment vertical="top"/>
      <protection hidden="true"/>
    </xf>
    <xf applyAlignment="true" applyFill="true" applyFont="true" applyNumberFormat="true" borderId="0" fillId="9" fontId="12" numFmtId="1000" quotePrefix="false">
      <alignment vertical="top"/>
    </xf>
    <xf applyBorder="true" applyFont="true" applyNumberFormat="true" borderId="1" fillId="0" fontId="31" numFmtId="1008" quotePrefix="false">
      <protection hidden="true"/>
    </xf>
    <xf applyFont="true" applyNumberFormat="true" borderId="0" fillId="0" fontId="27" numFmtId="1010" quotePrefix="false"/>
    <xf applyAlignment="true" applyBorder="true" applyFill="true" applyFont="true" applyNumberFormat="true" borderId="1" fillId="12" fontId="5" numFmtId="1004" quotePrefix="false">
      <alignment vertical="top"/>
    </xf>
    <xf applyAlignment="true" applyBorder="true" applyFont="true" applyNumberFormat="true" borderId="5" fillId="0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4" fillId="11" fontId="5" numFmtId="1002" quotePrefix="false">
      <alignment horizontal="right" vertical="top" wrapText="true"/>
      <protection hidden="true"/>
    </xf>
    <xf applyAlignment="true" applyBorder="true" applyFill="true" applyFont="true" applyNumberFormat="true" borderId="20" fillId="11" fontId="5" numFmtId="1002" quotePrefix="false">
      <alignment horizontal="left" vertical="top" wrapText="true"/>
      <protection hidden="true"/>
    </xf>
    <xf applyAlignment="true" applyBorder="true" applyFill="true" applyFont="true" applyNumberFormat="true" borderId="1" fillId="11" fontId="32" numFmtId="1001" quotePrefix="false">
      <alignment horizontal="right" vertical="top" wrapText="true"/>
    </xf>
    <xf applyAlignment="true" applyBorder="true" applyFill="true" applyFont="true" applyNumberFormat="true" borderId="1" fillId="11" fontId="32" numFmtId="1000" quotePrefix="false">
      <alignment horizontal="right" vertical="top" wrapText="true"/>
    </xf>
    <xf applyAlignment="true" applyBorder="true" applyFill="true" applyFont="true" applyNumberFormat="true" borderId="21" fillId="11" fontId="5" numFmtId="1006" quotePrefix="false">
      <alignment horizontal="right" vertical="top" wrapText="true"/>
      <protection hidden="true"/>
    </xf>
    <xf applyAlignment="true" applyBorder="true" applyFill="true" applyFont="true" applyNumberFormat="true" borderId="5" fillId="11" fontId="5" numFmtId="1002" quotePrefix="false">
      <alignment horizontal="right" vertical="top" wrapText="true"/>
      <protection hidden="true"/>
    </xf>
    <xf applyAlignment="true" applyBorder="true" applyFill="true" applyFont="true" applyNumberFormat="true" borderId="20" fillId="11" fontId="5" numFmtId="1002" quotePrefix="false">
      <alignment vertical="top" wrapText="true"/>
      <protection hidden="true"/>
    </xf>
    <xf applyAlignment="true" applyBorder="true" applyFill="true" applyFont="true" applyNumberFormat="true" borderId="22" fillId="11" fontId="5" numFmtId="1006" quotePrefix="false">
      <alignment horizontal="right" vertical="top" wrapText="true"/>
      <protection hidden="true"/>
    </xf>
    <xf applyAlignment="true" applyBorder="true" applyFill="true" applyFont="true" applyNumberFormat="true" borderId="1" fillId="11" fontId="32" numFmtId="1000" quotePrefix="false">
      <alignment vertical="top"/>
    </xf>
    <xf applyAlignment="true" applyBorder="true" applyFill="true" applyFont="true" applyNumberFormat="true" borderId="23" fillId="11" fontId="5" numFmtId="1002" quotePrefix="false">
      <alignment vertical="top" wrapText="true"/>
      <protection hidden="true"/>
    </xf>
    <xf applyAlignment="true" applyBorder="true" applyFill="true" applyFont="true" applyNumberFormat="true" borderId="1" fillId="11" fontId="32" numFmtId="1000" quotePrefix="false">
      <alignment horizontal="right" vertical="top"/>
    </xf>
    <xf applyAlignment="true" applyBorder="true" applyFill="true" applyFont="true" applyNumberFormat="true" borderId="22" fillId="11" fontId="5" numFmtId="1011" quotePrefix="false">
      <alignment horizontal="right" vertical="top" wrapText="true"/>
      <protection hidden="true"/>
    </xf>
    <xf applyAlignment="true" applyBorder="true" applyFill="true" applyFont="true" applyNumberFormat="true" borderId="4" fillId="11" fontId="2" numFmtId="1000" quotePrefix="false">
      <alignment horizontal="right" vertical="top"/>
    </xf>
    <xf applyAlignment="true" applyBorder="true" applyFont="true" applyNumberFormat="true" borderId="24" fillId="0" fontId="32" numFmtId="1000" quotePrefix="false">
      <alignment vertical="top"/>
    </xf>
    <xf applyAlignment="true" applyFont="true" applyNumberFormat="true" borderId="0" fillId="0" fontId="33" numFmtId="1000" quotePrefix="false">
      <alignment vertical="top"/>
    </xf>
    <xf applyAlignment="true" applyBorder="true" applyFont="true" applyNumberFormat="true" borderId="1" fillId="0" fontId="17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6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8" quotePrefix="false">
      <alignment vertical="top"/>
    </xf>
    <xf applyAlignment="true" applyBorder="true" applyFill="true" applyFont="true" applyNumberFormat="true" borderId="1" fillId="11" fontId="5" numFmtId="1006" quotePrefix="false">
      <alignment vertical="top"/>
    </xf>
    <xf applyAlignment="true" applyFont="true" applyNumberFormat="true" borderId="0" fillId="0" fontId="2" numFmtId="1010" quotePrefix="false">
      <alignment vertical="top"/>
    </xf>
    <xf applyAlignment="true" applyBorder="true" applyFont="true" applyNumberFormat="true" borderId="1" fillId="0" fontId="28" numFmtId="1000" quotePrefix="false">
      <alignment vertical="top"/>
    </xf>
    <xf applyAlignment="true" applyBorder="true" applyFont="true" applyNumberFormat="true" borderId="1" fillId="0" fontId="6" numFmtId="1000" quotePrefix="false">
      <alignment vertical="top"/>
    </xf>
    <xf applyAlignment="true" applyFont="true" applyNumberFormat="true" borderId="0" fillId="0" fontId="6" numFmtId="1002" quotePrefix="false">
      <alignment vertical="top" wrapText="true"/>
      <protection hidden="true"/>
    </xf>
    <xf applyAlignment="true" applyFont="true" applyNumberFormat="true" borderId="0" fillId="0" fontId="6" numFmtId="1008" quotePrefix="false">
      <alignment vertical="top"/>
    </xf>
    <xf applyFont="true" applyNumberFormat="true" borderId="0" fillId="0" fontId="31" numFmtId="1008" quotePrefix="false">
      <protection hidden="true"/>
    </xf>
    <xf applyAlignment="true" applyFont="true" applyNumberFormat="true" borderId="0" fillId="0" fontId="5" numFmtId="1001" quotePrefix="false">
      <alignment horizontal="right" vertical="top" wrapText="true"/>
    </xf>
    <xf applyFont="true" applyNumberFormat="true" borderId="0" fillId="0" fontId="27" numFmtId="1008" quotePrefix="false">
      <protection hidden="true"/>
    </xf>
    <xf applyAlignment="true" applyBorder="true" applyFont="true" applyNumberFormat="true" borderId="1" fillId="0" fontId="2" numFmtId="1008" quotePrefix="false">
      <alignment vertical="top"/>
    </xf>
    <xf applyAlignment="true" applyBorder="true" applyFill="true" applyFont="true" applyNumberFormat="true" borderId="1" fillId="7" fontId="17" numFmtId="1002" quotePrefix="false">
      <alignment vertical="top" wrapText="true"/>
      <protection hidden="true"/>
    </xf>
    <xf applyAlignment="true" applyBorder="true" applyFill="true" applyFont="true" applyNumberFormat="true" borderId="1" fillId="7" fontId="17" numFmtId="1000" quotePrefix="false">
      <alignment vertical="top"/>
    </xf>
    <xf applyAlignment="true" applyFill="true" applyFont="true" applyNumberFormat="true" borderId="0" fillId="11" fontId="5" numFmtId="1002" quotePrefix="false">
      <alignment vertical="top" wrapText="true"/>
      <protection hidden="true"/>
    </xf>
    <xf applyAlignment="true" applyFill="true" applyFont="true" applyNumberFormat="true" borderId="0" fillId="11" fontId="5" numFmtId="1001" quotePrefix="false">
      <alignment horizontal="right" vertical="top" wrapText="true"/>
    </xf>
    <xf applyAlignment="true" applyFill="true" applyFont="true" applyNumberFormat="true" borderId="0" fillId="11" fontId="5" numFmtId="1000" quotePrefix="false">
      <alignment horizontal="right" vertical="top"/>
    </xf>
    <xf applyAlignment="true" applyFill="true" applyFont="true" applyNumberFormat="true" borderId="0" fillId="11" fontId="12" numFmtId="1002" quotePrefix="false">
      <alignment vertical="top" wrapText="true"/>
      <protection hidden="true"/>
    </xf>
    <xf applyAlignment="true" applyFill="true" applyFont="true" applyNumberFormat="true" borderId="0" fillId="11" fontId="12" numFmtId="1000" quotePrefix="false">
      <alignment horizontal="right" vertical="top"/>
    </xf>
    <xf applyAlignment="true" applyBorder="true" applyFill="true" applyFont="true" applyNumberFormat="true" borderId="1" fillId="11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1" fillId="11" fontId="5" numFmtId="1001" quotePrefix="false">
      <alignment horizontal="right" vertical="top" wrapText="true"/>
    </xf>
    <xf applyAlignment="true" applyBorder="true" applyFont="true" applyNumberFormat="true" borderId="25" fillId="0" fontId="5" numFmtId="1001" quotePrefix="false">
      <alignment horizontal="right" vertical="top" wrapText="true"/>
    </xf>
    <xf applyAlignment="true" applyBorder="true" applyFill="true" applyFont="true" applyNumberFormat="true" borderId="1" fillId="2" fontId="2" numFmtId="1000" quotePrefix="false">
      <alignment vertical="top"/>
    </xf>
    <xf applyAlignment="true" applyBorder="true" applyFill="true" applyFont="true" applyNumberFormat="true" borderId="1" fillId="3" fontId="2" numFmtId="1000" quotePrefix="false">
      <alignment vertical="top"/>
    </xf>
    <xf applyAlignment="true" applyBorder="true" applyFill="true" applyFont="true" applyNumberFormat="true" borderId="1" fillId="4" fontId="2" numFmtId="1000" quotePrefix="false">
      <alignment vertical="top"/>
    </xf>
    <xf applyAlignment="true" applyBorder="true" applyFont="true" applyNumberFormat="true" borderId="1" fillId="0" fontId="5" numFmtId="1001" quotePrefix="false">
      <alignment horizontal="right" vertical="top" wrapText="true"/>
    </xf>
    <xf applyAlignment="true" applyFill="true" applyFont="true" applyNumberFormat="true" borderId="0" fillId="2" fontId="2" numFmtId="1000" quotePrefix="false">
      <alignment vertical="top"/>
    </xf>
    <xf applyAlignment="true" applyFont="true" applyNumberFormat="true" borderId="0" fillId="0" fontId="8" numFmtId="1000" quotePrefix="false">
      <alignment horizontal="right" vertical="top"/>
    </xf>
    <xf applyAlignment="true" applyBorder="true" applyFill="true" applyFont="true" applyNumberFormat="true" borderId="25" fillId="7" fontId="5" numFmtId="1002" quotePrefix="false">
      <alignment horizontal="center" vertical="top" wrapText="true"/>
      <protection hidden="true"/>
    </xf>
    <xf applyAlignment="true" applyBorder="true" applyFill="true" applyFont="true" applyNumberFormat="true" borderId="25" fillId="11" fontId="5" numFmtId="1001" quotePrefix="false">
      <alignment horizontal="center" vertical="top" wrapText="true"/>
    </xf>
    <xf applyAlignment="true" applyBorder="true" applyFill="true" applyFont="true" applyNumberFormat="true" borderId="25" fillId="11" fontId="5" numFmtId="1001" quotePrefix="false">
      <alignment horizontal="right" vertical="top" wrapText="true"/>
    </xf>
    <xf applyAlignment="true" applyBorder="true" applyFont="true" applyNumberFormat="true" borderId="25" fillId="0" fontId="5" numFmtId="1001" quotePrefix="false">
      <alignment horizontal="center" vertical="top" wrapText="true"/>
    </xf>
    <xf applyAlignment="true" applyBorder="true" applyFill="true" applyFont="true" applyNumberFormat="true" borderId="25" fillId="7" fontId="5" numFmtId="1001" quotePrefix="false">
      <alignment horizontal="right" vertical="top" wrapText="true"/>
    </xf>
    <xf applyAlignment="true" applyBorder="true" applyFill="true" applyFont="true" applyNumberFormat="true" borderId="1" fillId="7" fontId="2" numFmtId="1000" quotePrefix="false">
      <alignment vertical="top"/>
    </xf>
    <xf applyAlignment="true" applyBorder="true" applyFill="true" applyFont="true" applyNumberFormat="true" borderId="25" fillId="11" fontId="6" numFmtId="1001" quotePrefix="false">
      <alignment horizontal="right" vertical="top" wrapText="true"/>
    </xf>
    <xf applyAlignment="true" applyBorder="true" applyFill="true" applyFont="true" applyNumberFormat="true" borderId="1" fillId="11" fontId="6" numFmtId="1000" quotePrefix="false">
      <alignment vertical="top"/>
    </xf>
    <xf applyAlignment="true" applyBorder="true" applyFont="true" applyNumberFormat="true" borderId="25" fillId="0" fontId="6" numFmtId="1001" quotePrefix="false">
      <alignment horizontal="center" vertical="top" wrapText="true"/>
    </xf>
    <xf applyAlignment="true" applyBorder="true" applyFont="true" applyNumberFormat="true" borderId="25" fillId="0" fontId="6" numFmtId="1001" quotePrefix="false">
      <alignment horizontal="right" vertical="top" wrapText="true"/>
    </xf>
    <xf applyAlignment="true" applyBorder="true" applyFill="true" applyFont="true" applyNumberFormat="true" borderId="1" fillId="7" fontId="5" numFmtId="1001" quotePrefix="false">
      <alignment horizontal="right" vertical="top" wrapText="true"/>
    </xf>
    <xf applyBorder="true" applyFill="true" applyFont="true" applyNumberFormat="true" borderId="1" fillId="11" fontId="5" numFmtId="1000" quotePrefix="false"/>
    <xf applyAlignment="true" applyBorder="true" applyFill="true" applyFont="true" applyNumberFormat="true" borderId="1" fillId="11" fontId="5" numFmtId="1001" quotePrefix="false">
      <alignment vertical="top" wrapText="true"/>
    </xf>
    <xf applyBorder="true" applyFill="true" applyFont="true" applyNumberFormat="true" borderId="21" fillId="11" fontId="5" numFmtId="1004" quotePrefix="false"/>
    <xf applyBorder="true" applyFill="true" applyFont="true" applyNumberFormat="true" borderId="23" fillId="11" fontId="5" numFmtId="1000" quotePrefix="false"/>
    <xf applyBorder="true" applyFont="true" applyNumberFormat="true" borderId="1" fillId="0" fontId="5" numFmtId="1008" quotePrefix="false">
      <protection hidden="true"/>
    </xf>
    <xf applyAlignment="true" applyBorder="true" applyFont="true" applyNumberFormat="true" borderId="25" fillId="0" fontId="5" numFmtId="1001" quotePrefix="false">
      <alignment vertical="top" wrapText="true"/>
    </xf>
    <xf applyBorder="true" applyFont="true" applyNumberFormat="true" borderId="1" fillId="0" fontId="2" numFmtId="1004" quotePrefix="false"/>
    <xf applyBorder="true" applyFill="true" applyFont="true" applyNumberFormat="true" borderId="23" fillId="3" fontId="2" numFmtId="1000" quotePrefix="false"/>
    <xf applyBorder="true" applyFill="true" applyFont="true" applyNumberFormat="true" borderId="23" fillId="13" fontId="2" numFmtId="1000" quotePrefix="false"/>
    <xf applyBorder="true" applyFill="true" applyFont="true" applyNumberFormat="true" borderId="1" fillId="11" fontId="5" numFmtId="1001" quotePrefix="false"/>
    <xf applyAlignment="true" applyBorder="true" applyFont="true" applyNumberFormat="true" borderId="1" fillId="0" fontId="5" numFmtId="1001" quotePrefix="false">
      <alignment vertical="top" wrapText="true"/>
    </xf>
    <xf applyFont="true" applyNumberFormat="true" borderId="0" fillId="0" fontId="17" numFmtId="1008" quotePrefix="false">
      <protection hidden="true"/>
    </xf>
    <xf applyAlignment="true" applyFont="true" applyNumberFormat="true" borderId="0" fillId="0" fontId="17" numFmtId="1001" quotePrefix="false">
      <alignment wrapText="true"/>
    </xf>
    <xf applyFill="true" applyFont="true" applyNumberFormat="true" borderId="0" fillId="11" fontId="5" numFmtId="1000" quotePrefix="false"/>
    <xf applyFont="true" applyNumberFormat="true" borderId="0" fillId="0" fontId="5" numFmtId="1008" quotePrefix="false">
      <protection hidden="true"/>
    </xf>
    <xf applyAlignment="true" applyFont="true" applyNumberFormat="true" borderId="0" fillId="0" fontId="5" numFmtId="1008" quotePrefix="false">
      <alignment horizontal="right"/>
      <protection hidden="true"/>
    </xf>
    <xf applyFont="true" applyNumberFormat="true" borderId="0" fillId="0" fontId="2" numFmtId="1004" quotePrefix="false"/>
    <xf applyAlignment="true" applyFont="true" applyNumberFormat="true" borderId="0" fillId="0" fontId="5" numFmtId="1001" quotePrefix="false">
      <alignment horizontal="right" wrapText="true"/>
    </xf>
    <xf applyAlignment="true" applyFont="true" applyNumberFormat="true" borderId="0" fillId="0" fontId="2" numFmtId="1011" quotePrefix="false">
      <alignment vertical="top"/>
    </xf>
    <xf applyAlignment="true" applyFont="true" applyNumberFormat="true" borderId="0" fillId="0" fontId="2" numFmtId="1006" quotePrefix="false">
      <alignment horizontal="right" vertical="top"/>
    </xf>
    <xf applyAlignment="true" applyFont="true" applyNumberFormat="true" borderId="0" fillId="0" fontId="8" numFmtId="1009" quotePrefix="false">
      <alignment vertical="top"/>
    </xf>
    <xf applyAlignment="true" applyFont="true" applyNumberFormat="true" borderId="0" fillId="0" fontId="8" numFmtId="1006" quotePrefix="false">
      <alignment horizontal="right" vertical="top"/>
    </xf>
    <xf applyAlignment="true" applyFont="true" applyNumberFormat="true" borderId="0" fillId="0" fontId="2" numFmtId="1006" quotePrefix="false">
      <alignment vertical="top"/>
    </xf>
    <xf applyAlignment="true" applyFont="true" applyNumberFormat="true" borderId="0" fillId="0" fontId="8" numFmtId="1006" quotePrefix="false">
      <alignment vertical="top"/>
    </xf>
    <xf applyAlignment="true" applyBorder="true" applyFont="true" applyNumberFormat="true" borderId="4" fillId="0" fontId="17" numFmtId="1002" quotePrefix="false">
      <alignment vertical="top" wrapText="true"/>
      <protection hidden="true"/>
    </xf>
    <xf applyAlignment="true" applyBorder="true" applyFont="true" applyNumberFormat="true" borderId="20" fillId="0" fontId="17" numFmtId="1002" quotePrefix="false">
      <alignment vertical="top" wrapText="true"/>
      <protection hidden="true"/>
    </xf>
    <xf applyAlignment="true" applyBorder="true" applyFont="true" applyNumberFormat="true" borderId="21" fillId="0" fontId="17" numFmtId="1004" quotePrefix="false">
      <alignment vertical="top"/>
    </xf>
    <xf applyAlignment="true" applyBorder="true" applyFont="true" applyNumberFormat="true" borderId="23" fillId="0" fontId="17" numFmtId="1002" quotePrefix="false">
      <alignment vertical="top" wrapText="true"/>
      <protection hidden="true"/>
    </xf>
    <xf applyAlignment="true" applyBorder="true" applyFont="true" applyNumberFormat="true" borderId="23" fillId="0" fontId="5" numFmtId="1002" quotePrefix="false">
      <alignment vertical="top" wrapText="true"/>
      <protection hidden="true"/>
    </xf>
    <xf applyBorder="true" applyFont="true" applyNumberFormat="true" borderId="21" fillId="0" fontId="17" numFmtId="1004" quotePrefix="false"/>
    <xf applyBorder="true" applyFont="true" applyNumberFormat="true" borderId="23" fillId="0" fontId="17" numFmtId="1000" quotePrefix="false"/>
    <xf applyAlignment="true" applyFont="true" applyNumberFormat="true" borderId="0" fillId="0" fontId="17" numFmtId="1004" quotePrefix="false">
      <alignment vertical="top"/>
    </xf>
    <xf applyAlignment="true" applyFont="true" applyNumberFormat="true" borderId="0" fillId="0" fontId="17" numFmtId="1000" quotePrefix="false">
      <alignment horizontal="right" vertical="top"/>
    </xf>
    <xf applyAlignment="true" applyFont="true" applyNumberFormat="true" borderId="0" fillId="0" fontId="30" numFmtId="1000" quotePrefix="false">
      <alignment horizontal="right" vertical="top"/>
    </xf>
    <xf applyAlignment="true" applyFont="true" applyNumberFormat="true" borderId="0" fillId="0" fontId="2" numFmtId="1006" quotePrefix="false">
      <alignment horizontal="right" vertical="center"/>
    </xf>
    <xf applyAlignment="true" applyFont="true" applyNumberFormat="true" borderId="0" fillId="0" fontId="8" numFmtId="1006" quotePrefix="false">
      <alignment horizontal="right" vertical="center"/>
    </xf>
    <xf applyAlignment="true" applyBorder="true" applyFont="true" applyNumberFormat="true" borderId="25" fillId="0" fontId="17" numFmtId="1001" quotePrefix="false">
      <alignment horizontal="right" vertical="top" wrapText="true"/>
    </xf>
    <xf applyAlignment="true" applyBorder="true" applyFill="true" applyFont="true" applyNumberFormat="true" borderId="1" fillId="5" fontId="2" numFmtId="1000" quotePrefix="false">
      <alignment vertical="top"/>
    </xf>
    <xf applyAlignment="true" applyBorder="true" applyFill="true" applyFont="true" applyNumberFormat="true" borderId="1" fillId="11" fontId="5" numFmtId="1000" quotePrefix="false">
      <alignment horizontal="right" vertical="top" wrapText="true"/>
    </xf>
    <xf applyAlignment="true" applyFont="true" applyNumberFormat="true" borderId="0" fillId="0" fontId="5" numFmtId="1004" quotePrefix="false">
      <alignment vertical="top"/>
    </xf>
    <xf applyAlignment="true" applyFill="true" applyFont="true" applyNumberFormat="true" borderId="0" fillId="9" fontId="17" numFmtId="1001" quotePrefix="false">
      <alignment horizontal="right" vertical="top" wrapText="true"/>
    </xf>
    <xf applyAlignment="true" applyFont="true" applyNumberFormat="true" borderId="0" fillId="0" fontId="5" numFmtId="1000" quotePrefix="false">
      <alignment horizontal="right" vertical="top"/>
    </xf>
    <xf applyAlignment="true" applyFont="true" applyNumberFormat="true" borderId="0" fillId="0" fontId="12" numFmtId="1000" quotePrefix="false">
      <alignment horizontal="right" vertical="top"/>
    </xf>
    <xf applyAlignment="true" applyFont="true" applyNumberFormat="true" borderId="0" fillId="0" fontId="9" numFmtId="1006" quotePrefix="false">
      <alignment horizontal="right" vertical="center"/>
    </xf>
    <xf applyAlignment="true" applyBorder="true" applyFill="true" applyFont="true" applyNumberFormat="true" borderId="1" fillId="11" fontId="5" numFmtId="1001" quotePrefix="false">
      <alignment horizontal="right"/>
    </xf>
    <xf applyAlignment="true" applyBorder="true" applyFill="true" applyFont="true" applyNumberFormat="true" borderId="21" fillId="11" fontId="5" numFmtId="1004" quotePrefix="false">
      <alignment horizontal="right"/>
    </xf>
    <xf applyAlignment="true" applyBorder="true" applyFill="true" applyFont="true" applyNumberFormat="true" borderId="1" fillId="11" fontId="5" numFmtId="1000" quotePrefix="false">
      <alignment horizontal="right"/>
    </xf>
    <xf applyAlignment="true" applyBorder="true" applyFont="true" applyNumberFormat="true" borderId="1" fillId="0" fontId="5" numFmtId="1008" quotePrefix="false">
      <alignment horizontal="right"/>
      <protection hidden="true"/>
    </xf>
    <xf applyAlignment="true" applyBorder="true" applyFill="true" applyFont="true" applyNumberFormat="true" borderId="1" fillId="9" fontId="5" numFmtId="1012" quotePrefix="false">
      <alignment horizontal="right"/>
    </xf>
    <xf applyAlignment="true" applyBorder="true" applyFill="true" applyFont="true" applyNumberFormat="true" borderId="1" fillId="5" fontId="2" numFmtId="1000" quotePrefix="false">
      <alignment horizontal="right"/>
    </xf>
    <xf applyAlignment="true" applyBorder="true" applyFont="true" applyNumberFormat="true" borderId="1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right"/>
    </xf>
    <xf applyAlignment="true" applyBorder="true" applyFill="true" applyFont="true" applyNumberFormat="true" borderId="1" fillId="3" fontId="2" numFmtId="1000" quotePrefix="false">
      <alignment horizontal="right"/>
    </xf>
    <xf applyAlignment="true" applyFill="true" applyFont="true" applyNumberFormat="true" borderId="0" fillId="9" fontId="5" numFmtId="1012" quotePrefix="false">
      <alignment horizontal="right"/>
    </xf>
    <xf applyAlignment="true" applyFill="true" applyFont="true" applyNumberFormat="true" borderId="0" fillId="2" fontId="2" numFmtId="1000" quotePrefix="false">
      <alignment horizontal="right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17" numFmtId="1008" quotePrefix="false">
      <alignment horizontal="right"/>
      <protection hidden="true"/>
    </xf>
    <xf applyAlignment="true" applyFill="true" applyFont="true" applyNumberFormat="true" borderId="0" fillId="9" fontId="17" numFmtId="1012" quotePrefix="false">
      <alignment horizontal="right"/>
    </xf>
    <xf applyAlignment="true" applyFill="true" applyFont="true" applyNumberFormat="true" borderId="0" fillId="11" fontId="5" numFmtId="1004" quotePrefix="false">
      <alignment horizontal="right"/>
    </xf>
    <xf applyAlignment="true" applyFill="true" applyFont="true" applyNumberFormat="true" borderId="0" fillId="11" fontId="5" numFmtId="1000" quotePrefix="false">
      <alignment horizontal="right"/>
    </xf>
    <xf applyAlignment="true" applyFont="true" applyNumberFormat="true" borderId="0" fillId="0" fontId="17" numFmtId="1012" quotePrefix="false">
      <alignment horizontal="right"/>
    </xf>
    <xf applyAlignment="true" applyFont="true" applyNumberFormat="true" borderId="0" fillId="0" fontId="8" numFmtId="1008" quotePrefix="false">
      <alignment vertical="top"/>
    </xf>
    <xf applyAlignment="true" applyBorder="true" applyFill="true" applyFont="true" applyNumberFormat="true" borderId="21" fillId="11" fontId="5" numFmtId="1004" quotePrefix="false">
      <alignment vertical="top"/>
    </xf>
    <xf applyAlignment="true" applyFill="true" applyFont="true" applyNumberFormat="true" borderId="0" fillId="11" fontId="5" numFmtId="1004" quotePrefix="false">
      <alignment vertical="top"/>
    </xf>
    <xf applyAlignment="true" applyFill="true" applyFont="true" applyNumberFormat="true" borderId="0" fillId="11" fontId="5" numFmtId="1000" quotePrefix="false">
      <alignment vertical="top"/>
    </xf>
    <xf applyAlignment="true" applyBorder="true" applyFill="true" applyFont="true" applyNumberFormat="true" borderId="4" fillId="11" fontId="5" numFmtId="1002" quotePrefix="false">
      <alignment horizontal="left" vertical="top" wrapText="true"/>
      <protection hidden="true"/>
    </xf>
    <xf applyAlignment="true" applyBorder="true" applyFill="true" applyFont="true" applyNumberFormat="true" borderId="25" fillId="11" fontId="5" numFmtId="1001" quotePrefix="false">
      <alignment horizontal="right" wrapText="true"/>
    </xf>
    <xf applyAlignment="true" applyBorder="true" applyFill="true" applyFont="true" applyNumberFormat="true" borderId="22" fillId="11" fontId="5" numFmtId="1002" quotePrefix="false">
      <alignment vertical="top" wrapText="true"/>
      <protection hidden="true"/>
    </xf>
    <xf applyFont="true" applyNumberFormat="true" borderId="0" fillId="0" fontId="5" numFmtId="1012" quotePrefix="false"/>
    <xf applyAlignment="true" applyFill="true" applyFont="true" applyNumberFormat="true" borderId="0" fillId="11" fontId="2" numFmtId="1000" quotePrefix="false">
      <alignment horizontal="right" vertical="top"/>
    </xf>
    <xf applyAlignment="true" applyFill="true" applyFont="true" applyNumberFormat="true" borderId="0" fillId="11" fontId="8" numFmtId="1000" quotePrefix="false">
      <alignment horizontal="right" vertical="top"/>
    </xf>
    <xf applyAlignment="true" applyBorder="true" applyFill="true" applyFont="true" applyNumberFormat="true" borderId="1" fillId="11" fontId="32" numFmtId="1000" quotePrefix="false">
      <alignment horizontal="left" vertical="top" wrapText="true"/>
    </xf>
    <xf applyAlignment="true" applyBorder="true" applyFill="true" applyFont="true" applyNumberFormat="true" borderId="25" fillId="11" fontId="5" numFmtId="1009" quotePrefix="false">
      <alignment horizontal="right" vertical="top" wrapText="true"/>
      <protection hidden="true"/>
    </xf>
    <xf applyAlignment="true" applyBorder="true" applyFill="true" applyFont="true" applyNumberFormat="true" borderId="5" fillId="11" fontId="5" numFmtId="1002" quotePrefix="false">
      <alignment horizontal="right" wrapText="true"/>
      <protection hidden="true"/>
    </xf>
    <xf applyAlignment="true" applyBorder="true" applyFill="true" applyFont="true" applyNumberFormat="true" borderId="1" fillId="11" fontId="32" numFmtId="1000" quotePrefix="false">
      <alignment vertical="top" wrapText="true"/>
    </xf>
    <xf applyAlignment="true" applyBorder="true" applyFill="true" applyFont="true" applyNumberFormat="true" borderId="26" fillId="11" fontId="5" numFmtId="1009" quotePrefix="false">
      <alignment horizontal="right" vertical="top" wrapText="true"/>
      <protection hidden="true"/>
    </xf>
    <xf applyAlignment="true" applyBorder="true" applyFill="true" applyFont="true" applyNumberFormat="true" borderId="24" fillId="11" fontId="32" numFmtId="1000" quotePrefix="false">
      <alignment horizontal="right" vertical="top"/>
    </xf>
    <xf applyAlignment="true" applyFill="true" applyFont="true" applyNumberFormat="true" borderId="0" fillId="11" fontId="33" numFmtId="1000" quotePrefix="false">
      <alignment horizontal="right" vertical="top"/>
    </xf>
    <xf applyAlignment="true" applyFont="true" applyNumberFormat="true" borderId="0" fillId="0" fontId="8" numFmtId="1012" quotePrefix="false">
      <alignment vertical="top"/>
    </xf>
    <xf applyAlignment="true" applyBorder="true" applyFill="true" applyFont="true" applyNumberFormat="true" borderId="1" fillId="11" fontId="5" numFmtId="1000" quotePrefix="false">
      <alignment horizontal="center" vertical="top" wrapText="true"/>
      <protection hidden="true"/>
    </xf>
    <xf applyAlignment="true" applyBorder="true" applyFill="true" applyFont="true" applyNumberFormat="true" borderId="1" fillId="11" fontId="2" numFmtId="1000" quotePrefix="false">
      <alignment horizontal="center" vertical="top"/>
    </xf>
    <xf applyAlignment="true" applyBorder="true" applyFill="true" applyFont="true" applyNumberFormat="true" borderId="1" fillId="11" fontId="5" numFmtId="1000" quotePrefix="false">
      <alignment horizontal="center" vertical="top"/>
    </xf>
    <xf applyAlignment="true" applyBorder="true" applyFill="true" applyFont="true" applyNumberFormat="true" borderId="1" fillId="11" fontId="2" numFmtId="1000" quotePrefix="false">
      <alignment vertical="top" wrapText="true"/>
    </xf>
    <xf applyAlignment="true" applyBorder="true" applyFill="true" applyFont="true" applyNumberFormat="true" borderId="1" fillId="11" fontId="5" numFmtId="1000" quotePrefix="false">
      <alignment horizontal="center" wrapText="true"/>
    </xf>
    <xf applyAlignment="true" applyBorder="true" applyFill="true" applyFont="true" applyNumberFormat="true" borderId="21" fillId="11" fontId="5" numFmtId="1002" quotePrefix="false">
      <alignment horizontal="center" wrapText="true"/>
      <protection hidden="true"/>
    </xf>
    <xf applyAlignment="true" applyBorder="true" applyFill="true" applyFont="true" applyNumberFormat="true" borderId="1" fillId="11" fontId="5" numFmtId="1000" quotePrefix="false">
      <alignment horizontal="center"/>
    </xf>
    <xf applyAlignment="true" applyBorder="true" applyFill="true" applyFont="true" applyNumberFormat="true" borderId="21" fillId="11" fontId="5" numFmtId="1000" quotePrefix="false">
      <alignment horizontal="center"/>
    </xf>
    <xf applyAlignment="true" applyBorder="true" applyFill="true" applyFont="true" applyNumberFormat="true" borderId="1" fillId="11" fontId="5" numFmtId="1000" quotePrefix="false">
      <alignment vertical="top" wrapText="true"/>
    </xf>
    <xf applyAlignment="true" applyBorder="true" applyFill="true" applyFont="true" applyNumberFormat="true" borderId="23" fillId="11" fontId="5" numFmtId="1000" quotePrefix="false">
      <alignment vertical="top"/>
    </xf>
    <xf applyAlignment="true" applyBorder="true" applyFill="true" applyFont="true" applyNumberFormat="true" borderId="1" fillId="11" fontId="5" numFmtId="1000" quotePrefix="false">
      <alignment horizontal="center" vertical="center"/>
    </xf>
    <xf applyAlignment="true" applyBorder="true" applyFill="true" applyFont="true" applyNumberFormat="true" borderId="21" fillId="11" fontId="5" numFmtId="1000" quotePrefix="false">
      <alignment vertical="top"/>
    </xf>
    <xf applyAlignment="true" applyBorder="true" applyFill="true" applyFont="true" applyNumberFormat="true" borderId="21" fillId="11" fontId="5" numFmtId="1013" quotePrefix="false">
      <alignment horizontal="right" vertical="top" wrapText="true"/>
      <protection hidden="true"/>
    </xf>
    <xf applyAlignment="true" applyBorder="true" applyFill="true" applyFont="true" applyNumberFormat="true" borderId="21" fillId="11" fontId="5" numFmtId="1000" quotePrefix="false">
      <alignment horizontal="right"/>
    </xf>
    <xf applyFont="true" applyNumberFormat="true" borderId="0" fillId="0" fontId="6" numFmtId="1012" quotePrefix="false"/>
    <xf applyAlignment="true" applyFont="true" applyNumberFormat="true" borderId="0" fillId="0" fontId="6" numFmtId="1000" quotePrefix="false">
      <alignment horizontal="right"/>
    </xf>
    <xf applyBorder="true" applyFont="true" applyNumberFormat="true" borderId="1" fillId="0" fontId="5" numFmtId="1005" quotePrefix="false"/>
    <xf applyBorder="true" applyFill="true" applyFont="true" applyNumberFormat="true" borderId="1" fillId="7" fontId="5" numFmtId="1005" quotePrefix="false"/>
    <xf applyAlignment="true" applyBorder="true" applyFill="true" applyFont="true" applyNumberFormat="true" borderId="1" fillId="7" fontId="2" numFmtId="1000" quotePrefix="false">
      <alignment horizontal="right"/>
    </xf>
    <xf applyFill="true" applyFont="true" applyNumberFormat="true" borderId="0" fillId="11" fontId="5" numFmtId="1012" quotePrefix="false"/>
    <xf applyAlignment="true" applyFill="true" applyFont="true" applyNumberFormat="true" borderId="0" fillId="11" fontId="2" numFmtId="1000" quotePrefix="false">
      <alignment horizontal="right"/>
    </xf>
    <xf applyAlignment="true" applyBorder="true" applyFont="true" applyNumberFormat="true" borderId="5" fillId="0" fontId="5" numFmtId="1001" quotePrefix="false">
      <alignment horizontal="center" vertical="top" wrapText="true"/>
      <protection hidden="true"/>
    </xf>
    <xf applyAlignment="true" applyBorder="true" applyFont="true" applyNumberFormat="true" borderId="20" fillId="0" fontId="5" numFmtId="1002" quotePrefix="false">
      <alignment vertical="top" wrapText="true"/>
      <protection hidden="true"/>
    </xf>
    <xf applyAlignment="true" applyBorder="true" applyFill="true" applyFont="true" applyNumberFormat="true" borderId="1" fillId="11" fontId="32" numFmtId="1001" quotePrefix="false">
      <alignment vertical="top"/>
    </xf>
    <xf applyAlignment="true" applyBorder="true" applyFont="true" applyNumberFormat="true" borderId="1" fillId="0" fontId="2" numFmtId="1001" quotePrefix="false">
      <alignment vertical="top"/>
    </xf>
    <xf applyAlignment="true" applyBorder="true" applyFill="true" applyFont="true" applyNumberFormat="true" borderId="1" fillId="14" fontId="32" numFmtId="1000" quotePrefix="false">
      <alignment vertical="top"/>
    </xf>
    <xf applyAlignment="true" applyBorder="true" applyFill="true" applyFont="true" applyNumberFormat="true" borderId="1" fillId="7" fontId="2" numFmtId="1001" quotePrefix="false">
      <alignment vertical="top"/>
    </xf>
    <xf applyAlignment="true" applyFill="true" applyFont="true" applyNumberFormat="true" borderId="0" fillId="11" fontId="32" numFmtId="1000" quotePrefix="false">
      <alignment horizontal="right" vertical="top"/>
    </xf>
    <xf applyAlignment="true" applyBorder="true" applyFill="true" applyFont="true" applyNumberFormat="true" borderId="5" fillId="7" fontId="2" numFmtId="1000" quotePrefix="false">
      <alignment vertical="top"/>
    </xf>
    <xf applyAlignment="true" applyBorder="true" applyFill="true" applyFont="true" applyNumberFormat="true" borderId="6" fillId="7" fontId="17" numFmtId="1000" quotePrefix="false">
      <alignment vertical="top"/>
    </xf>
    <xf applyAlignment="true" applyBorder="true" applyFill="true" applyFont="true" applyNumberFormat="true" borderId="4" fillId="7" fontId="2" numFmtId="1000" quotePrefix="false">
      <alignment vertical="top"/>
    </xf>
    <xf applyAlignment="true" applyBorder="true" applyFill="true" applyFont="true" applyNumberFormat="true" borderId="1" fillId="9" fontId="34" numFmtId="1000" quotePrefix="false">
      <alignment vertical="top"/>
    </xf>
    <xf applyAlignment="true" applyBorder="true" applyFont="true" applyNumberFormat="true" borderId="1" fillId="0" fontId="2" numFmtId="1000" quotePrefix="false">
      <alignment horizontal="center" vertical="top"/>
    </xf>
    <xf applyAlignment="true" applyBorder="true" applyFill="true" applyFont="true" applyNumberFormat="true" borderId="1" fillId="11" fontId="32" numFmtId="1000" quotePrefix="false">
      <alignment horizontal="center" vertical="top"/>
    </xf>
    <xf applyAlignment="true" applyBorder="true" applyFont="true" applyNumberFormat="true" borderId="1" fillId="0" fontId="5" numFmtId="1000" quotePrefix="false">
      <alignment horizontal="center" vertical="top"/>
    </xf>
    <xf applyAlignment="true" applyBorder="true" applyFill="true" applyFont="true" applyNumberFormat="true" borderId="1" fillId="7" fontId="5" numFmtId="1000" quotePrefix="false">
      <alignment horizontal="center" vertical="top"/>
    </xf>
    <xf applyAlignment="true" applyBorder="true" applyFont="true" applyNumberFormat="true" borderId="1" fillId="0" fontId="34" numFmtId="1000" quotePrefix="false">
      <alignment horizontal="center" vertical="top"/>
    </xf>
    <xf applyAlignment="true" applyBorder="true" applyFill="true" applyFont="true" applyNumberFormat="true" borderId="1" fillId="7" fontId="6" numFmtId="1000" quotePrefix="false">
      <alignment vertical="top"/>
    </xf>
    <xf applyAlignment="true" applyFont="true" applyNumberFormat="true" borderId="0" fillId="0" fontId="2" numFmtId="1001" quotePrefix="false">
      <alignment vertical="top" wrapText="true"/>
    </xf>
    <xf applyAlignment="true" applyBorder="true" applyFont="true" applyNumberFormat="true" borderId="1" fillId="0" fontId="5" numFmtId="1001" quotePrefix="false">
      <alignment horizontal="center" vertical="top" wrapText="true"/>
      <protection hidden="true"/>
    </xf>
    <xf applyAlignment="true" applyBorder="true" applyFill="true" applyFont="true" applyNumberFormat="true" borderId="5" fillId="7" fontId="2" numFmtId="1001" quotePrefix="false">
      <alignment vertical="top"/>
    </xf>
    <xf applyAlignment="true" applyBorder="true" applyFill="true" applyFont="true" applyNumberFormat="true" borderId="1" fillId="9" fontId="2" numFmtId="1001" quotePrefix="false">
      <alignment vertical="top"/>
    </xf>
    <xf applyAlignment="true" applyBorder="true" applyFont="true" applyNumberFormat="true" borderId="5" fillId="0" fontId="5" numFmtId="1002" quotePrefix="false">
      <alignment vertical="top" wrapText="true"/>
      <protection hidden="true"/>
    </xf>
    <xf applyAlignment="true" applyBorder="true" applyFill="true" applyFont="true" applyNumberFormat="true" borderId="6" fillId="7" fontId="2" numFmtId="1001" quotePrefix="false">
      <alignment vertical="top"/>
    </xf>
    <xf applyAlignment="true" applyBorder="true" applyFill="true" applyFont="true" applyNumberFormat="true" borderId="6" fillId="7" fontId="2" numFmtId="1000" quotePrefix="false">
      <alignment vertical="top"/>
    </xf>
    <xf applyAlignment="true" applyBorder="true" applyFill="true" applyFont="true" applyNumberFormat="true" borderId="4" fillId="7" fontId="2" numFmtId="1001" quotePrefix="false">
      <alignment vertical="top"/>
    </xf>
    <xf applyAlignment="true" applyBorder="true" applyFont="true" applyNumberFormat="true" borderId="1" fillId="0" fontId="5" numFmtId="1001" quotePrefix="false">
      <alignment vertical="top"/>
    </xf>
    <xf applyAlignment="true" applyBorder="true" applyFill="true" applyFont="true" applyNumberFormat="true" borderId="27" fillId="11" fontId="32" numFmtId="1001" quotePrefix="false">
      <alignment vertical="top"/>
    </xf>
    <xf applyAlignment="true" applyBorder="true" applyFill="true" applyFont="true" applyNumberFormat="true" borderId="1" fillId="3" fontId="5" numFmtId="1000" quotePrefix="false">
      <alignment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35" Target="theme/theme1.xml" Type="http://schemas.openxmlformats.org/officeDocument/2006/relationships/theme"/>
  <Relationship Id="rId15" Target="worksheets/sheet15.xml" Type="http://schemas.openxmlformats.org/officeDocument/2006/relationships/worksheet"/>
  <Relationship Id="rId34" Target="styles.xml" Type="http://schemas.openxmlformats.org/officeDocument/2006/relationships/styles"/>
  <Relationship Id="rId30" Target="worksheets/sheet30.xml" Type="http://schemas.openxmlformats.org/officeDocument/2006/relationships/worksheet"/>
  <Relationship Id="rId27" Target="worksheets/sheet27.xml" Type="http://schemas.openxmlformats.org/officeDocument/2006/relationships/worksheet"/>
  <Relationship Id="rId3" Target="worksheets/sheet3.xml" Type="http://schemas.openxmlformats.org/officeDocument/2006/relationships/worksheet"/>
  <Relationship Id="rId29" Target="worksheets/sheet29.xml" Type="http://schemas.openxmlformats.org/officeDocument/2006/relationships/worksheet"/>
  <Relationship Id="rId5" Target="worksheets/sheet5.xml" Type="http://schemas.openxmlformats.org/officeDocument/2006/relationships/worksheet"/>
  <Relationship Id="rId12" Target="worksheets/sheet12.xml" Type="http://schemas.openxmlformats.org/officeDocument/2006/relationships/worksheet"/>
  <Relationship Id="rId31" Target="worksheets/sheet31.xml" Type="http://schemas.openxmlformats.org/officeDocument/2006/relationships/worksheet"/>
  <Relationship Id="rId13" Target="worksheets/sheet13.xml" Type="http://schemas.openxmlformats.org/officeDocument/2006/relationships/worksheet"/>
  <Relationship Id="rId6" Target="worksheets/sheet6.xml" Type="http://schemas.openxmlformats.org/officeDocument/2006/relationships/worksheet"/>
  <Relationship Id="rId4" Target="worksheets/sheet4.xml" Type="http://schemas.openxmlformats.org/officeDocument/2006/relationships/worksheet"/>
  <Relationship Id="rId23" Target="worksheets/sheet23.xml" Type="http://schemas.openxmlformats.org/officeDocument/2006/relationships/worksheet"/>
  <Relationship Id="rId21" Target="worksheets/sheet21.xml" Type="http://schemas.openxmlformats.org/officeDocument/2006/relationships/worksheet"/>
  <Relationship Id="rId22" Target="worksheets/sheet22.xml" Type="http://schemas.openxmlformats.org/officeDocument/2006/relationships/worksheet"/>
  <Relationship Id="rId28" Target="worksheets/sheet28.xml" Type="http://schemas.openxmlformats.org/officeDocument/2006/relationships/worksheet"/>
  <Relationship Id="rId8" Target="worksheets/sheet8.xml" Type="http://schemas.openxmlformats.org/officeDocument/2006/relationships/worksheet"/>
  <Relationship Id="rId32" Target="worksheets/sheet32.xml" Type="http://schemas.openxmlformats.org/officeDocument/2006/relationships/worksheet"/>
  <Relationship Id="rId9" Target="worksheets/sheet9.xml" Type="http://schemas.openxmlformats.org/officeDocument/2006/relationships/worksheet"/>
  <Relationship Id="rId20" Target="worksheets/sheet20.xml" Type="http://schemas.openxmlformats.org/officeDocument/2006/relationships/worksheet"/>
  <Relationship Id="rId19" Target="worksheets/sheet19.xml" Type="http://schemas.openxmlformats.org/officeDocument/2006/relationships/worksheet"/>
  <Relationship Id="rId11" Target="worksheets/sheet11.xml" Type="http://schemas.openxmlformats.org/officeDocument/2006/relationships/worksheet"/>
  <Relationship Id="rId14" Target="worksheets/sheet14.xml" Type="http://schemas.openxmlformats.org/officeDocument/2006/relationships/worksheet"/>
  <Relationship Id="rId16" Target="worksheets/sheet16.xml" Type="http://schemas.openxmlformats.org/officeDocument/2006/relationships/worksheet"/>
  <Relationship Id="rId10" Target="worksheets/sheet10.xml" Type="http://schemas.openxmlformats.org/officeDocument/2006/relationships/worksheet"/>
  <Relationship Id="rId7" Target="worksheets/sheet7.xml" Type="http://schemas.openxmlformats.org/officeDocument/2006/relationships/worksheet"/>
  <Relationship Id="rId33" Target="sharedStrings.xml" Type="http://schemas.openxmlformats.org/officeDocument/2006/relationships/sharedStrings"/>
  <Relationship Id="rId25" Target="worksheets/sheet25.xml" Type="http://schemas.openxmlformats.org/officeDocument/2006/relationships/worksheet"/>
  <Relationship Id="rId17" Target="worksheets/sheet17.xml" Type="http://schemas.openxmlformats.org/officeDocument/2006/relationships/worksheet"/>
  <Relationship Id="rId26" Target="worksheets/sheet26.xml" Type="http://schemas.openxmlformats.org/officeDocument/2006/relationships/worksheet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18" Target="worksheets/sheet18.xml" Type="http://schemas.openxmlformats.org/officeDocument/2006/relationships/worksheet"/>
  <Relationship Id="rId24" Target="worksheets/sheet24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9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style="1" width="9.14062530925693"/>
    <col customWidth="true" max="2" min="2" outlineLevel="0" style="2" width="7.14062497092456"/>
    <col customWidth="true" max="3" min="3" outlineLevel="0" style="3" width="50.855468305278"/>
    <col customWidth="true" max="9" min="4" outlineLevel="0" style="4" width="15.0000005074985"/>
    <col bestFit="true" customWidth="true" max="16384" min="10" outlineLevel="0" style="1" width="9.14062530925693"/>
  </cols>
  <sheetData>
    <row ht="19.5" outlineLevel="0" r="1">
      <c r="B1" s="5" t="s">
        <v>0</v>
      </c>
      <c r="C1" s="5" t="s"/>
      <c r="D1" s="5" t="s"/>
      <c r="E1" s="5" t="s"/>
      <c r="F1" s="5" t="s"/>
      <c r="G1" s="5" t="s"/>
      <c r="H1" s="5" t="s"/>
      <c r="I1" s="5" t="s"/>
    </row>
    <row ht="18.75" outlineLevel="0" r="2">
      <c r="B2" s="6" t="n"/>
      <c r="C2" s="6" t="s"/>
      <c r="D2" s="6" t="s"/>
      <c r="E2" s="6" t="n"/>
      <c r="F2" s="6" t="n"/>
      <c r="G2" s="6" t="n"/>
      <c r="H2" s="6" t="n"/>
      <c r="I2" s="6" t="n"/>
    </row>
    <row customHeight="true" ht="36" outlineLevel="0" r="4">
      <c r="A4" s="7" t="n"/>
      <c r="B4" s="8" t="s">
        <v>1</v>
      </c>
      <c r="C4" s="8" t="s">
        <v>2</v>
      </c>
      <c r="D4" s="9" t="s">
        <v>3</v>
      </c>
      <c r="E4" s="10" t="s"/>
      <c r="F4" s="9" t="s">
        <v>4</v>
      </c>
      <c r="G4" s="9" t="s">
        <v>5</v>
      </c>
      <c r="H4" s="10" t="s"/>
      <c r="I4" s="9" t="s">
        <v>6</v>
      </c>
    </row>
    <row outlineLevel="0" r="5">
      <c r="A5" s="7" t="n"/>
      <c r="B5" s="11" t="s"/>
      <c r="C5" s="11" t="s"/>
      <c r="D5" s="12" t="s">
        <v>7</v>
      </c>
      <c r="E5" s="12" t="s">
        <v>8</v>
      </c>
      <c r="F5" s="13" t="s"/>
      <c r="G5" s="12" t="s">
        <v>7</v>
      </c>
      <c r="H5" s="12" t="s">
        <v>8</v>
      </c>
      <c r="I5" s="13" t="s"/>
    </row>
    <row customFormat="true" ht="15" outlineLevel="0" r="6" s="14">
      <c r="A6" s="15" t="n"/>
      <c r="B6" s="16" t="n">
        <v>1</v>
      </c>
      <c r="C6" s="17" t="s">
        <v>9</v>
      </c>
      <c r="D6" s="18" t="n">
        <v>8.32</v>
      </c>
      <c r="E6" s="18" t="n">
        <v>8.39</v>
      </c>
      <c r="F6" s="19" t="n">
        <v>0.0700000000000003</v>
      </c>
      <c r="G6" s="16" t="n">
        <v>1</v>
      </c>
      <c r="H6" s="16" t="n">
        <v>1</v>
      </c>
      <c r="I6" s="20" t="n">
        <v>0</v>
      </c>
      <c r="J6" s="21" t="n">
        <v>606</v>
      </c>
    </row>
    <row outlineLevel="0" r="7">
      <c r="A7" s="15" t="n"/>
      <c r="B7" s="16" t="n">
        <v>2</v>
      </c>
      <c r="C7" s="17" t="s">
        <v>10</v>
      </c>
      <c r="D7" s="19" t="n">
        <v>6.91</v>
      </c>
      <c r="E7" s="19" t="n">
        <v>7.25</v>
      </c>
      <c r="F7" s="19" t="n">
        <v>0.34</v>
      </c>
      <c r="G7" s="16" t="n">
        <v>3</v>
      </c>
      <c r="H7" s="16" t="n">
        <v>2</v>
      </c>
      <c r="I7" s="20" t="n">
        <v>1</v>
      </c>
      <c r="J7" s="21" t="n">
        <v>620</v>
      </c>
    </row>
    <row outlineLevel="0" r="8">
      <c r="A8" s="22" t="n"/>
      <c r="B8" s="16" t="n">
        <v>3</v>
      </c>
      <c r="C8" s="17" t="s">
        <v>11</v>
      </c>
      <c r="D8" s="19" t="n">
        <v>6.76</v>
      </c>
      <c r="E8" s="19" t="n">
        <v>7.17</v>
      </c>
      <c r="F8" s="19" t="n">
        <v>0.41</v>
      </c>
      <c r="G8" s="16" t="n">
        <v>4</v>
      </c>
      <c r="H8" s="16" t="n">
        <v>3</v>
      </c>
      <c r="I8" s="20" t="n">
        <v>1</v>
      </c>
      <c r="J8" s="21" t="n">
        <v>607</v>
      </c>
    </row>
    <row outlineLevel="0" r="9">
      <c r="A9" s="15" t="n"/>
      <c r="B9" s="16" t="n">
        <v>4</v>
      </c>
      <c r="C9" s="17" t="s">
        <v>12</v>
      </c>
      <c r="D9" s="19" t="n">
        <v>6.95</v>
      </c>
      <c r="E9" s="19" t="n">
        <v>6.44</v>
      </c>
      <c r="F9" s="23" t="n">
        <v>-0.51</v>
      </c>
      <c r="G9" s="16" t="n">
        <v>2</v>
      </c>
      <c r="H9" s="16" t="n">
        <v>4</v>
      </c>
      <c r="I9" s="24" t="n">
        <v>-2</v>
      </c>
      <c r="J9" s="21" t="n">
        <v>621</v>
      </c>
    </row>
    <row outlineLevel="0" r="10">
      <c r="A10" s="15" t="n"/>
      <c r="B10" s="16" t="n">
        <v>5</v>
      </c>
      <c r="C10" s="17" t="s">
        <v>13</v>
      </c>
      <c r="D10" s="23" t="n">
        <v>5.03</v>
      </c>
      <c r="E10" s="19" t="n">
        <v>5.7</v>
      </c>
      <c r="F10" s="19" t="n">
        <v>0.67</v>
      </c>
      <c r="G10" s="16" t="n">
        <v>6</v>
      </c>
      <c r="H10" s="16" t="n">
        <v>5</v>
      </c>
      <c r="I10" s="20" t="n">
        <v>1</v>
      </c>
      <c r="J10" s="21" t="n">
        <v>601</v>
      </c>
    </row>
    <row outlineLevel="0" r="11">
      <c r="A11" s="15" t="n"/>
      <c r="B11" s="16" t="n">
        <v>6</v>
      </c>
      <c r="C11" s="17" t="s">
        <v>14</v>
      </c>
      <c r="D11" s="19" t="n">
        <v>5.71</v>
      </c>
      <c r="E11" s="19" t="n">
        <v>5.5</v>
      </c>
      <c r="F11" s="23" t="n">
        <v>-0.21</v>
      </c>
      <c r="G11" s="16" t="n">
        <v>5</v>
      </c>
      <c r="H11" s="16" t="n">
        <v>6</v>
      </c>
      <c r="I11" s="24" t="n">
        <v>-1</v>
      </c>
      <c r="J11" s="21" t="n">
        <v>611</v>
      </c>
    </row>
    <row outlineLevel="0" r="12">
      <c r="A12" s="15" t="n"/>
      <c r="B12" s="16" t="n">
        <v>7</v>
      </c>
      <c r="C12" s="17" t="s">
        <v>15</v>
      </c>
      <c r="D12" s="25" t="n">
        <v>2.87</v>
      </c>
      <c r="E12" s="23" t="n">
        <v>5.14</v>
      </c>
      <c r="F12" s="18" t="n">
        <v>2.27</v>
      </c>
      <c r="G12" s="16" t="n">
        <v>14</v>
      </c>
      <c r="H12" s="16" t="n">
        <v>7</v>
      </c>
      <c r="I12" s="26" t="n">
        <v>7</v>
      </c>
      <c r="J12" s="21" t="n">
        <v>602</v>
      </c>
    </row>
    <row outlineLevel="0" r="13">
      <c r="A13" s="15" t="n"/>
      <c r="B13" s="16" t="n">
        <v>8</v>
      </c>
      <c r="C13" s="17" t="s">
        <v>16</v>
      </c>
      <c r="D13" s="23" t="n">
        <v>4.5</v>
      </c>
      <c r="E13" s="23" t="n">
        <v>5</v>
      </c>
      <c r="F13" s="19" t="n">
        <v>0.5</v>
      </c>
      <c r="G13" s="16" t="n">
        <v>10</v>
      </c>
      <c r="H13" s="16" t="n">
        <v>8</v>
      </c>
      <c r="I13" s="20" t="n">
        <v>2</v>
      </c>
      <c r="J13" s="21" t="n">
        <v>619</v>
      </c>
    </row>
    <row outlineLevel="0" r="14">
      <c r="A14" s="15" t="n"/>
      <c r="B14" s="16" t="n">
        <v>9</v>
      </c>
      <c r="C14" s="17" t="s">
        <v>17</v>
      </c>
      <c r="D14" s="23" t="n">
        <v>4.89</v>
      </c>
      <c r="E14" s="23" t="n">
        <v>4.9</v>
      </c>
      <c r="F14" s="19" t="n">
        <v>0.0100000000000007</v>
      </c>
      <c r="G14" s="16" t="n">
        <v>7</v>
      </c>
      <c r="H14" s="16" t="n">
        <v>9</v>
      </c>
      <c r="I14" s="24" t="n">
        <v>-2</v>
      </c>
      <c r="J14" s="21" t="n">
        <v>609</v>
      </c>
    </row>
    <row outlineLevel="0" r="15">
      <c r="A15" s="15" t="n"/>
      <c r="B15" s="16" t="n">
        <v>10</v>
      </c>
      <c r="C15" s="17" t="s">
        <v>18</v>
      </c>
      <c r="D15" s="23" t="n">
        <v>4.54</v>
      </c>
      <c r="E15" s="23" t="n">
        <v>4.76</v>
      </c>
      <c r="F15" s="19" t="n">
        <v>0.22</v>
      </c>
      <c r="G15" s="16" t="n">
        <v>9</v>
      </c>
      <c r="H15" s="16" t="n">
        <v>10</v>
      </c>
      <c r="I15" s="24" t="n">
        <v>-1</v>
      </c>
      <c r="J15" s="21" t="n">
        <v>617</v>
      </c>
    </row>
    <row outlineLevel="0" r="16">
      <c r="A16" s="15" t="n"/>
      <c r="B16" s="16" t="n">
        <v>11</v>
      </c>
      <c r="C16" s="17" t="s">
        <v>19</v>
      </c>
      <c r="D16" s="23" t="n">
        <v>4.4</v>
      </c>
      <c r="E16" s="23" t="n">
        <v>4.53</v>
      </c>
      <c r="F16" s="19" t="n">
        <v>0.13</v>
      </c>
      <c r="G16" s="16" t="n">
        <v>12</v>
      </c>
      <c r="H16" s="16" t="n">
        <v>11</v>
      </c>
      <c r="I16" s="20" t="n">
        <v>1</v>
      </c>
      <c r="J16" s="21" t="n">
        <v>604</v>
      </c>
    </row>
    <row outlineLevel="0" r="17">
      <c r="A17" s="15" t="n"/>
      <c r="B17" s="16" t="n">
        <v>12</v>
      </c>
      <c r="C17" s="17" t="s">
        <v>20</v>
      </c>
      <c r="D17" s="23" t="n">
        <v>4.89</v>
      </c>
      <c r="E17" s="23" t="n">
        <v>4.28</v>
      </c>
      <c r="F17" s="23" t="n">
        <v>-0.609999999999999</v>
      </c>
      <c r="G17" s="16" t="n">
        <v>8</v>
      </c>
      <c r="H17" s="16" t="n">
        <v>12</v>
      </c>
      <c r="I17" s="27" t="n">
        <v>-4</v>
      </c>
      <c r="J17" s="21" t="n">
        <v>618</v>
      </c>
    </row>
    <row ht="30" outlineLevel="0" r="18">
      <c r="A18" s="15" t="n"/>
      <c r="B18" s="16" t="n">
        <v>13</v>
      </c>
      <c r="C18" s="17" t="s">
        <v>21</v>
      </c>
      <c r="D18" s="23" t="n">
        <v>4.42</v>
      </c>
      <c r="E18" s="23" t="n">
        <v>3.49</v>
      </c>
      <c r="F18" s="23" t="n">
        <v>-0.93</v>
      </c>
      <c r="G18" s="16" t="n">
        <v>11</v>
      </c>
      <c r="H18" s="16" t="n">
        <v>13</v>
      </c>
      <c r="I18" s="24" t="n">
        <v>-2</v>
      </c>
      <c r="J18" s="21" t="n">
        <v>624</v>
      </c>
    </row>
    <row outlineLevel="0" r="19">
      <c r="A19" s="28" t="n"/>
      <c r="B19" s="29" t="n">
        <v>14</v>
      </c>
      <c r="C19" s="30" t="s">
        <v>22</v>
      </c>
      <c r="D19" s="31" t="n">
        <v>3.64</v>
      </c>
      <c r="E19" s="32" t="n">
        <v>2.81</v>
      </c>
      <c r="F19" s="33" t="n">
        <v>-0.83</v>
      </c>
      <c r="G19" s="29" t="n">
        <v>13</v>
      </c>
      <c r="H19" s="29" t="n">
        <v>14</v>
      </c>
      <c r="I19" s="34" t="n">
        <v>-1</v>
      </c>
      <c r="J19" s="35" t="n">
        <v>605</v>
      </c>
    </row>
    <row customFormat="true" ht="14.25" outlineLevel="0" r="20" s="36">
      <c r="B20" s="37" t="n"/>
      <c r="C20" s="38" t="s">
        <v>23</v>
      </c>
      <c r="D20" s="39" t="n">
        <v>73.83</v>
      </c>
      <c r="E20" s="39" t="n">
        <v>75.36</v>
      </c>
      <c r="F20" s="40" t="n">
        <v>1.53</v>
      </c>
      <c r="G20" s="41" t="n"/>
      <c r="H20" s="41" t="n"/>
      <c r="I20" s="41" t="n"/>
    </row>
    <row customFormat="true" ht="15" outlineLevel="0" r="21" s="42">
      <c r="B21" s="16" t="n"/>
      <c r="C21" s="38" t="s">
        <v>24</v>
      </c>
      <c r="D21" s="39" t="n">
        <v>5.27</v>
      </c>
      <c r="E21" s="39" t="n">
        <v>5.38</v>
      </c>
      <c r="F21" s="39" t="n"/>
      <c r="G21" s="43" t="n"/>
      <c r="H21" s="43" t="n"/>
      <c r="I21" s="43" t="n"/>
    </row>
    <row outlineLevel="0" r="22">
      <c r="B22" s="44" t="n"/>
      <c r="C22" s="45" t="n"/>
      <c r="D22" s="46" t="n"/>
      <c r="E22" s="46" t="n"/>
      <c r="F22" s="46" t="n"/>
      <c r="G22" s="46" t="n"/>
      <c r="H22" s="46" t="n"/>
      <c r="I22" s="46" t="n"/>
    </row>
    <row ht="15.75" outlineLevel="0" r="23">
      <c r="B23" s="44" t="n"/>
      <c r="C23" s="47" t="s">
        <v>25</v>
      </c>
      <c r="D23" s="48" t="n"/>
      <c r="E23" s="47" t="n"/>
      <c r="F23" s="46" t="n"/>
      <c r="G23" s="46" t="n"/>
      <c r="H23" s="46" t="n"/>
      <c r="I23" s="46" t="n"/>
    </row>
    <row ht="15.75" outlineLevel="0" r="24">
      <c r="B24" s="44" t="n"/>
      <c r="C24" s="47" t="s">
        <v>26</v>
      </c>
      <c r="D24" s="49" t="n"/>
      <c r="E24" s="47" t="n"/>
      <c r="F24" s="46" t="n"/>
      <c r="G24" s="46" t="n"/>
      <c r="H24" s="46" t="n"/>
      <c r="I24" s="46" t="n"/>
    </row>
    <row ht="15.75" outlineLevel="0" r="25">
      <c r="B25" s="44" t="n"/>
      <c r="C25" s="47" t="s">
        <v>27</v>
      </c>
      <c r="D25" s="50" t="n"/>
      <c r="E25" s="47" t="n"/>
      <c r="F25" s="46" t="n"/>
      <c r="G25" s="46" t="n"/>
      <c r="H25" s="46" t="n"/>
      <c r="I25" s="46" t="n"/>
    </row>
    <row ht="15.75" outlineLevel="0" r="26">
      <c r="B26" s="44" t="n"/>
      <c r="C26" s="47" t="s">
        <v>28</v>
      </c>
      <c r="D26" s="51" t="n"/>
      <c r="E26" s="47" t="n"/>
      <c r="F26" s="46" t="n"/>
      <c r="G26" s="46" t="n"/>
      <c r="H26" s="46" t="n"/>
      <c r="I26" s="46" t="n"/>
    </row>
    <row outlineLevel="0" r="29">
      <c r="F29" s="4" t="n">
        <v>9</v>
      </c>
      <c r="G29" s="4" t="n">
        <f aca="false" ca="false" dt2D="false" dtr="false" t="normal">9*100/14</f>
        <v>64.28571428571429</v>
      </c>
    </row>
  </sheetData>
  <mergeCells count="8">
    <mergeCell ref="B1:I1"/>
    <mergeCell ref="B2:D2"/>
    <mergeCell ref="B4:B5"/>
    <mergeCell ref="C4:C5"/>
    <mergeCell ref="D4:E4"/>
    <mergeCell ref="F4:F5"/>
    <mergeCell ref="G4:H4"/>
    <mergeCell ref="I4:I5"/>
  </mergeCells>
  <pageMargins bottom="0.196850389242172" footer="0.15748031437397" header="0.15748031437397" left="1.01999998092651" right="0.196850389242172" top="0.354330688714981"/>
  <pageSetup fitToHeight="1" fitToWidth="1" orientation="portrait" paperHeight="297mm" paperSize="9" paperWidth="210mm" scale="57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4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2.8554689819427"/>
    <col customWidth="true" max="5" min="5" outlineLevel="0" style="188" width="19.570313162127"/>
    <col customWidth="true" max="6" min="6" outlineLevel="0" style="3" width="13.1406246325922"/>
    <col customWidth="true" max="7" min="7" outlineLevel="0" style="3" width="9.85546881277651"/>
    <col customWidth="true" max="8" min="8" outlineLevel="0" style="3" width="31.8554698277736"/>
    <col bestFit="true" customWidth="true" max="16384" min="9" outlineLevel="0" style="3" width="9.14062530925693"/>
  </cols>
  <sheetData>
    <row customFormat="true" ht="20.25" outlineLevel="0" r="1" s="197">
      <c r="A1" s="198" t="s">
        <v>102</v>
      </c>
      <c r="B1" s="198" t="s"/>
      <c r="C1" s="198" t="s"/>
      <c r="D1" s="198" t="s"/>
      <c r="E1" s="198" t="s"/>
      <c r="F1" s="198" t="s"/>
    </row>
    <row ht="19.5" outlineLevel="0" r="2">
      <c r="A2" s="199" t="s">
        <v>153</v>
      </c>
      <c r="B2" s="199" t="s"/>
      <c r="C2" s="199" t="s"/>
      <c r="D2" s="199" t="s"/>
      <c r="E2" s="199" t="s"/>
      <c r="F2" s="199" t="s"/>
    </row>
    <row outlineLevel="0" r="4">
      <c r="F4" s="200" t="s">
        <v>135</v>
      </c>
      <c r="H4" s="3" t="n">
        <v>20</v>
      </c>
    </row>
    <row customHeight="true" ht="123.75" outlineLevel="0" r="5">
      <c r="A5" s="53" t="s">
        <v>35</v>
      </c>
      <c r="B5" s="53" t="s">
        <v>2</v>
      </c>
      <c r="C5" s="53" t="s">
        <v>137</v>
      </c>
      <c r="D5" s="53" t="s">
        <v>154</v>
      </c>
      <c r="E5" s="220" t="s">
        <v>155</v>
      </c>
      <c r="F5" s="53" t="s">
        <v>140</v>
      </c>
      <c r="H5" s="52" t="s">
        <v>156</v>
      </c>
    </row>
    <row outlineLevel="0" r="6">
      <c r="A6" s="236" t="n">
        <v>600</v>
      </c>
      <c r="B6" s="236" t="s">
        <v>51</v>
      </c>
      <c r="C6" s="214" t="n">
        <v>55976453.42</v>
      </c>
      <c r="D6" s="214" t="n">
        <v>55925104.17</v>
      </c>
      <c r="E6" s="237" t="n">
        <f aca="false" ca="false" dt2D="false" dtr="false" t="normal">ROUND((C6-D6)/C6*100, 2)</f>
        <v>0.09</v>
      </c>
      <c r="F6" s="215" t="n">
        <v>4</v>
      </c>
      <c r="G6" s="186" t="str">
        <f aca="false" ca="false" dt2D="false" dtr="false" t="normal">LOOKUP(E6, {0, 0.01, 0.3, 0.499, 0.5, 0.7, 0.99, 1, 3, 4.99, 5, 7, 9.99, 10, 30, 40, 50}, {"5+", "5", "5-", "4+", "4", "4-", "3+", "3", "3-", "2+", "2", "2-", "1+", "1", "1-", "0"})</f>
        <v>5</v>
      </c>
      <c r="H6" s="52" t="n"/>
    </row>
    <row outlineLevel="0" r="7">
      <c r="A7" s="236" t="n">
        <v>601</v>
      </c>
      <c r="B7" s="236" t="s">
        <v>13</v>
      </c>
      <c r="C7" s="214" t="n">
        <v>338870705</v>
      </c>
      <c r="D7" s="214" t="n">
        <v>337439276.84</v>
      </c>
      <c r="E7" s="237" t="n">
        <f aca="false" ca="false" dt2D="false" dtr="false" t="normal">ROUND((C7-D7)/C7*100, 2)</f>
        <v>0.42</v>
      </c>
      <c r="F7" s="215" t="n">
        <v>4</v>
      </c>
      <c r="G7" s="186" t="str">
        <f aca="false" ca="false" dt2D="false" dtr="false" t="normal">LOOKUP(E7, {0, 0.01, 0.3, 0.499, 0.5, 0.7, 0.99, 1, 3, 4.99, 5, 7, 9.99, 10, 30, 40, 50}, {"5+", "5", "5-", "4+", "4", "4-", "3+", "3", "3-", "2+", "2", "2-", "1+", "1", "1-", "0"})</f>
        <v>5-</v>
      </c>
    </row>
    <row ht="30" outlineLevel="0" r="8">
      <c r="A8" s="212" t="n">
        <v>602</v>
      </c>
      <c r="B8" s="212" t="s">
        <v>53</v>
      </c>
      <c r="C8" s="214" t="n">
        <v>237092765.39</v>
      </c>
      <c r="D8" s="214" t="n">
        <v>221310168.77</v>
      </c>
      <c r="E8" s="237" t="n">
        <f aca="false" ca="false" dt2D="false" dtr="false" t="normal">ROUND((C8-D8)/C8*100, 2)</f>
        <v>6.66</v>
      </c>
      <c r="F8" s="215" t="n">
        <f aca="false" ca="false" dt2D="false" dtr="false" t="normal">VALUE(LEFT(G8, 1))</f>
        <v>2</v>
      </c>
      <c r="G8" s="186" t="str">
        <f aca="false" ca="false" dt2D="false" dtr="false" t="normal">LOOKUP(E8, {0, 0.01, 0.3, 0.499, 0.5, 0.7, 0.99, 1, 3, 4.99, 5, 7, 9.99, 10, 30, 40, 50}, {"5+", "5", "5-", "4+", "4", "4-", "3+", "3", "3-", "2+", "2", "2-", "1+", "1", "1-", "0"})</f>
        <v>2</v>
      </c>
    </row>
    <row ht="30" outlineLevel="0" r="9">
      <c r="A9" s="212" t="n">
        <v>604</v>
      </c>
      <c r="B9" s="212" t="s">
        <v>49</v>
      </c>
      <c r="C9" s="214" t="n">
        <v>409265921.33</v>
      </c>
      <c r="D9" s="214" t="n">
        <v>160093193.29</v>
      </c>
      <c r="E9" s="237" t="n">
        <f aca="false" ca="false" dt2D="false" dtr="false" t="normal">ROUND((C9-D9)/C9*100, 2)</f>
        <v>60.88</v>
      </c>
      <c r="F9" s="215" t="n">
        <v>0</v>
      </c>
      <c r="G9" s="186" t="e">
        <f aca="false" ca="false" dt2D="false" dtr="false" t="normal">LOOKUP(E9, {0, 0.01, 0.3, 0.499, 0.5, 0.7, 0.99, 1, 3, 4.99, 5, 7, 9.99, 10, 30, 40, 50}, {"5+", "5", "5-", "4+", "4", "4-", "3+", "3", "3-", "2+", "2", "2-", "1+", "1", "1-", "0"})</f>
        <v>#N/A</v>
      </c>
    </row>
    <row ht="45" outlineLevel="0" r="10">
      <c r="A10" s="212" t="n">
        <v>605</v>
      </c>
      <c r="B10" s="212" t="s">
        <v>45</v>
      </c>
      <c r="C10" s="214" t="n">
        <v>200922573.6</v>
      </c>
      <c r="D10" s="214" t="n">
        <v>200917806.01</v>
      </c>
      <c r="E10" s="237" t="n">
        <f aca="false" ca="false" dt2D="false" dtr="false" t="normal">ROUND((C10-D10)/C10*100, 2)</f>
        <v>0</v>
      </c>
      <c r="F10" s="215" t="n">
        <f aca="false" ca="false" dt2D="false" dtr="false" t="normal">VALUE(LEFT(G10, 1))</f>
        <v>5</v>
      </c>
      <c r="G10" s="186" t="str">
        <f aca="false" ca="false" dt2D="false" dtr="false" t="normal">LOOKUP(E10, {0, 0.01, 0.3, 0.499, 0.5, 0.7, 0.99, 1, 3, 4.99, 5, 7, 9.99, 10, 30, 40, 50}, {"5+", "5", "5-", "4+", "4", "4-", "3+", "3", "3-", "2+", "2", "2-", "1+", "1", "1-", "0"})</f>
        <v>5+</v>
      </c>
    </row>
    <row ht="30" outlineLevel="0" r="11">
      <c r="A11" s="212" t="n">
        <v>606</v>
      </c>
      <c r="B11" s="212" t="s">
        <v>46</v>
      </c>
      <c r="C11" s="214" t="n">
        <v>6262252639.46</v>
      </c>
      <c r="D11" s="214" t="n">
        <v>6238168462.95</v>
      </c>
      <c r="E11" s="237" t="n">
        <f aca="false" ca="false" dt2D="false" dtr="false" t="normal">ROUND((C11-D11)/C11*100, 2)</f>
        <v>0.38</v>
      </c>
      <c r="F11" s="215" t="n">
        <v>4</v>
      </c>
      <c r="G11" s="186" t="str">
        <f aca="false" ca="false" dt2D="false" dtr="false" t="normal">LOOKUP(E11, {0, 0.01, 0.3, 0.499, 0.5, 0.7, 0.99, 1, 3, 4.99, 5, 7, 9.99, 10, 30, 40, 50}, {"5+", "5", "5-", "4+", "4", "4-", "3+", "3", "3-", "2+", "2", "2-", "1+", "1", "1-", "0"})</f>
        <v>5-</v>
      </c>
    </row>
    <row ht="30" outlineLevel="0" r="12">
      <c r="A12" s="212" t="n">
        <v>607</v>
      </c>
      <c r="B12" s="212" t="s">
        <v>50</v>
      </c>
      <c r="C12" s="214" t="n">
        <v>773248544.88</v>
      </c>
      <c r="D12" s="214" t="n">
        <v>771344610.74</v>
      </c>
      <c r="E12" s="237" t="n">
        <f aca="false" ca="false" dt2D="false" dtr="false" t="normal">ROUND((C12-D12)/C12*100, 2)</f>
        <v>0.25</v>
      </c>
      <c r="F12" s="215" t="n">
        <v>4</v>
      </c>
      <c r="G12" s="186" t="str">
        <f aca="false" ca="false" dt2D="false" dtr="false" t="normal">LOOKUP(E12, {0, 0.01, 0.3, 0.499, 0.5, 0.7, 0.99, 1, 3, 4.99, 5, 7, 9.99, 10, 30, 40, 50}, {"5+", "5", "5-", "4+", "4", "4-", "3+", "3", "3-", "2+", "2", "2-", "1+", "1", "1-", "0"})</f>
        <v>5</v>
      </c>
    </row>
    <row ht="45" outlineLevel="0" r="13">
      <c r="A13" s="212" t="n">
        <v>609</v>
      </c>
      <c r="B13" s="212" t="s">
        <v>37</v>
      </c>
      <c r="C13" s="214" t="n">
        <v>4031392433.47</v>
      </c>
      <c r="D13" s="214" t="n">
        <v>4027776522.84</v>
      </c>
      <c r="E13" s="237" t="n">
        <f aca="false" ca="false" dt2D="false" dtr="false" t="normal">ROUND((C13-D13)/C13*100, 2)</f>
        <v>0.09</v>
      </c>
      <c r="F13" s="215" t="n">
        <v>4</v>
      </c>
      <c r="G13" s="186" t="str">
        <f aca="false" ca="false" dt2D="false" dtr="false" t="normal">LOOKUP(E13, {0, 0.01, 0.3, 0.499, 0.5, 0.7, 0.99, 1, 3, 4.99, 5, 7, 9.99, 10, 30, 40, 50}, {"5+", "5", "5-", "4+", "4", "4-", "3+", "3", "3-", "2+", "2", "2-", "1+", "1", "1-", "0"})</f>
        <v>5</v>
      </c>
    </row>
    <row ht="30" outlineLevel="0" r="14">
      <c r="A14" s="212" t="n">
        <v>611</v>
      </c>
      <c r="B14" s="212" t="s">
        <v>47</v>
      </c>
      <c r="C14" s="214" t="n">
        <v>275168648.27</v>
      </c>
      <c r="D14" s="214" t="n">
        <v>271597087.64</v>
      </c>
      <c r="E14" s="237" t="n">
        <f aca="false" ca="false" dt2D="false" dtr="false" t="normal">ROUND((C14-D14)/C14*100, 2)</f>
        <v>1.3</v>
      </c>
      <c r="F14" s="215" t="n">
        <f aca="false" ca="false" dt2D="false" dtr="false" t="normal">VALUE(LEFT(G14, 1))</f>
        <v>3</v>
      </c>
      <c r="G14" s="186" t="str">
        <f aca="false" ca="false" dt2D="false" dtr="false" t="normal">LOOKUP(E14, {0, 0.01, 0.3, 0.499, 0.5, 0.7, 0.99, 1, 3, 4.99, 5, 7, 9.99, 10, 30, 40, 50}, {"5+", "5", "5-", "4+", "4", "4-", "3+", "3", "3-", "2+", "2", "2-", "1+", "1", "1-", "0"})</f>
        <v>3</v>
      </c>
    </row>
    <row ht="30" outlineLevel="0" r="15">
      <c r="A15" s="212" t="n">
        <v>617</v>
      </c>
      <c r="B15" s="212" t="s">
        <v>42</v>
      </c>
      <c r="C15" s="214" t="n">
        <v>222857183.03</v>
      </c>
      <c r="D15" s="214" t="n">
        <v>220617806.47</v>
      </c>
      <c r="E15" s="237" t="n">
        <f aca="false" ca="false" dt2D="false" dtr="false" t="normal">ROUND((C15-D15)/C15*100, 2)</f>
        <v>1</v>
      </c>
      <c r="F15" s="215" t="n">
        <f aca="false" ca="false" dt2D="false" dtr="false" t="normal">VALUE(LEFT(G15, 1))</f>
        <v>3</v>
      </c>
      <c r="G15" s="186" t="str">
        <f aca="false" ca="false" dt2D="false" dtr="false" t="normal">LOOKUP(E15, {0, 0.01, 0.3, 0.499, 0.5, 0.7, 0.99, 1, 3, 4.99, 5, 7, 9.99, 10, 30, 40, 50}, {"5+", "5", "5-", "4+", "4", "4-", "3+", "3", "3-", "2+", "2", "2-", "1+", "1", "1-", "0"})</f>
        <v>3</v>
      </c>
    </row>
    <row ht="30" outlineLevel="0" r="16">
      <c r="A16" s="212" t="n">
        <v>618</v>
      </c>
      <c r="B16" s="212" t="s">
        <v>38</v>
      </c>
      <c r="C16" s="214" t="n">
        <v>223406143.77</v>
      </c>
      <c r="D16" s="214" t="n">
        <v>223307954.18</v>
      </c>
      <c r="E16" s="237" t="n">
        <f aca="false" ca="false" dt2D="false" dtr="false" t="normal">ROUND((C16-D16)/C16*100, 2)</f>
        <v>0.04</v>
      </c>
      <c r="F16" s="215" t="n">
        <v>5</v>
      </c>
      <c r="G16" s="186" t="str">
        <f aca="false" ca="false" dt2D="false" dtr="false" t="normal">LOOKUP(E16, {0, 0.01, 0.3, 0.499, 0.5, 0.7, 0.99, 1, 3, 4.99, 5, 7, 9.99, 10, 30, 40, 50}, {"5+", "5", "5-", "4+", "4", "4-", "3+", "3", "3-", "2+", "2", "2-", "1+", "1", "1-", "0"})</f>
        <v>5</v>
      </c>
    </row>
    <row ht="30" outlineLevel="0" r="17">
      <c r="A17" s="212" t="n">
        <v>619</v>
      </c>
      <c r="B17" s="212" t="s">
        <v>44</v>
      </c>
      <c r="C17" s="214" t="n">
        <v>383358524.27</v>
      </c>
      <c r="D17" s="214" t="n">
        <v>363189849.59</v>
      </c>
      <c r="E17" s="237" t="n">
        <f aca="false" ca="false" dt2D="false" dtr="false" t="normal">ROUND((C17-D17)/C17*100, 2)</f>
        <v>5.26</v>
      </c>
      <c r="F17" s="215" t="n">
        <f aca="false" ca="false" dt2D="false" dtr="false" t="normal">VALUE(LEFT(G17, 1))</f>
        <v>2</v>
      </c>
      <c r="G17" s="186" t="str">
        <f aca="false" ca="false" dt2D="false" dtr="false" t="normal">LOOKUP(E17, {0, 0.01, 0.3, 0.499, 0.5, 0.7, 0.99, 1, 3, 4.99, 5, 7, 9.99, 10, 30, 40, 50}, {"5+", "5", "5-", "4+", "4", "4-", "3+", "3", "3-", "2+", "2", "2-", "1+", "1", "1-", "0"})</f>
        <v>2</v>
      </c>
    </row>
    <row ht="30" outlineLevel="0" r="18">
      <c r="A18" s="212" t="n">
        <v>620</v>
      </c>
      <c r="B18" s="212" t="s">
        <v>48</v>
      </c>
      <c r="C18" s="214" t="n">
        <v>2074329803.05</v>
      </c>
      <c r="D18" s="214" t="n">
        <v>1961958975.58</v>
      </c>
      <c r="E18" s="237" t="n">
        <f aca="false" ca="false" dt2D="false" dtr="false" t="normal">ROUND((C18-D18)/C18*100, 2)</f>
        <v>5.42</v>
      </c>
      <c r="F18" s="215" t="n">
        <f aca="false" ca="false" dt2D="false" dtr="false" t="normal">VALUE(LEFT(G18, 1))</f>
        <v>2</v>
      </c>
      <c r="G18" s="186" t="str">
        <f aca="false" ca="false" dt2D="false" dtr="false" t="normal">LOOKUP(E18, {0, 0.01, 0.3, 0.499, 0.5, 0.7, 0.99, 1, 3, 4.99, 5, 7, 9.99, 10, 30, 40, 50}, {"5+", "5", "5-", "4+", "4", "4-", "3+", "3", "3-", "2+", "2", "2-", "1+", "1", "1-", "0"})</f>
        <v>2</v>
      </c>
    </row>
    <row ht="30" outlineLevel="0" r="19">
      <c r="A19" s="212" t="n">
        <v>621</v>
      </c>
      <c r="B19" s="212" t="s">
        <v>54</v>
      </c>
      <c r="C19" s="214" t="n">
        <v>3168800803.39</v>
      </c>
      <c r="D19" s="214" t="n">
        <v>2489659692.73</v>
      </c>
      <c r="E19" s="237" t="n">
        <f aca="false" ca="false" dt2D="false" dtr="false" t="normal">ROUND((C19-D19)/C19*100, 2)</f>
        <v>21.43</v>
      </c>
      <c r="F19" s="215" t="n">
        <f aca="false" ca="false" dt2D="false" dtr="false" t="normal">VALUE(LEFT(G19, 1))</f>
        <v>1</v>
      </c>
      <c r="G19" s="186" t="str">
        <f aca="false" ca="false" dt2D="false" dtr="false" t="normal">LOOKUP(E19, {0, 0.01, 0.3, 0.499, 0.5, 0.7, 0.99, 1, 3, 4.99, 5, 7, 9.99, 10, 30, 40, 50}, {"5+", "5", "5-", "4+", "4", "4-", "3+", "3", "3-", "2+", "2", "2-", "1+", "1", "1-", "0"})</f>
        <v>1</v>
      </c>
    </row>
    <row ht="45" outlineLevel="0" r="20">
      <c r="A20" s="212" t="n">
        <v>624</v>
      </c>
      <c r="B20" s="212" t="s">
        <v>40</v>
      </c>
      <c r="C20" s="214" t="n">
        <v>130509349.63</v>
      </c>
      <c r="D20" s="214" t="n">
        <v>129450332.72</v>
      </c>
      <c r="E20" s="237" t="n">
        <f aca="false" ca="false" dt2D="false" dtr="false" t="normal">ROUND((C20-D20)/C20*100, 2)</f>
        <v>0.81</v>
      </c>
      <c r="F20" s="215" t="n">
        <f aca="false" ca="false" dt2D="false" dtr="false" t="normal">VALUE(LEFT(G20, 1))</f>
        <v>4</v>
      </c>
      <c r="G20" s="186" t="str">
        <f aca="false" ca="false" dt2D="false" dtr="false" t="normal">LOOKUP(E20, {0, 0.01, 0.3, 0.499, 0.5, 0.7, 0.99, 1, 3, 4.99, 5, 7, 9.99, 10, 30, 40, 50}, {"5+", "5", "5-", "4+", "4", "4-", "3+", "3", "3-", "2+", "2", "2-", "1+", "1", "1-", "0"})</f>
        <v>4-</v>
      </c>
    </row>
    <row ht="30" outlineLevel="0" r="21">
      <c r="A21" s="212" t="n">
        <v>643</v>
      </c>
      <c r="B21" s="212" t="s">
        <v>157</v>
      </c>
      <c r="C21" s="214" t="n">
        <v>25334489.19</v>
      </c>
      <c r="D21" s="214" t="n">
        <v>25334489.19</v>
      </c>
      <c r="E21" s="237" t="n">
        <f aca="false" ca="false" dt2D="false" dtr="false" t="normal">ROUND((C21-D21)/C21*100, 2)</f>
        <v>0</v>
      </c>
      <c r="F21" s="215" t="n">
        <f aca="false" ca="false" dt2D="false" dtr="false" t="normal">VALUE(LEFT(G21, 1))</f>
        <v>5</v>
      </c>
      <c r="G21" s="186" t="str">
        <f aca="false" ca="false" dt2D="false" dtr="false" t="normal">LOOKUP(E21, {0, 0.01, 0.3, 0.499, 0.5, 0.7, 0.99, 1, 3, 4.99, 5, 7, 9.99, 10, 30, 40, 50}, {"5+", "5", "5-", "4+", "4", "4-", "3+", "3", "3-", "2+", "2", "2-", "1+", "1", "1-", "0"})</f>
        <v>5+</v>
      </c>
    </row>
    <row outlineLevel="0" r="22">
      <c r="A22" s="238" t="n"/>
      <c r="B22" s="238" t="n"/>
      <c r="C22" s="239" t="n"/>
      <c r="D22" s="239" t="n"/>
      <c r="F22" s="240" t="n"/>
      <c r="G22" s="4" t="n"/>
    </row>
    <row outlineLevel="0" r="23">
      <c r="A23" s="238" t="n"/>
      <c r="B23" s="238" t="s">
        <v>23</v>
      </c>
      <c r="C23" s="241" t="n"/>
      <c r="D23" s="241" t="n"/>
      <c r="E23" s="188" t="n">
        <f aca="false" ca="true" dt2D="false" dtr="false" t="normal">SUBTOTAL(9, E6:E21)</f>
        <v>104.03</v>
      </c>
      <c r="F23" s="240" t="n"/>
    </row>
    <row outlineLevel="0" r="24">
      <c r="A24" s="238" t="n"/>
      <c r="B24" s="242" t="s">
        <v>24</v>
      </c>
      <c r="C24" s="243" t="n"/>
      <c r="D24" s="243" t="n"/>
      <c r="E24" s="244" t="n">
        <f aca="false" ca="false" dt2D="false" dtr="false" t="normal">ROUND(E23/16, 2)</f>
        <v>6.5</v>
      </c>
      <c r="F24" s="240" t="n"/>
      <c r="G24" s="4" t="n"/>
    </row>
    <row outlineLevel="0" r="25">
      <c r="C25" s="207" t="n">
        <f aca="false" ca="false" dt2D="false" dtr="false" t="normal">SUM(C6:C21)</f>
        <v>18812786981.15</v>
      </c>
      <c r="D25" s="207" t="n">
        <f aca="false" ca="false" dt2D="false" dtr="false" t="normal">SUM(D6:D21)</f>
        <v>17698091333.71</v>
      </c>
      <c r="E25" s="244" t="n">
        <f aca="false" ca="false" dt2D="false" dtr="false" t="normal">ROUND((C25-D25)/C25*100, 2)</f>
        <v>5.93</v>
      </c>
      <c r="G25" s="4" t="n"/>
    </row>
    <row outlineLevel="0" r="26">
      <c r="C26" s="245" t="n">
        <v>17196771922</v>
      </c>
      <c r="D26" s="246" t="n">
        <v>16358865272.65</v>
      </c>
    </row>
    <row outlineLevel="0" r="27">
      <c r="C27" s="207" t="n">
        <f aca="false" ca="false" dt2D="false" dtr="false" t="normal">C25-C26</f>
        <v>1616015059.1500015</v>
      </c>
      <c r="D27" s="207" t="n">
        <f aca="false" ca="false" dt2D="false" dtr="false" t="normal">D25-D26</f>
        <v>1339226061.0599995</v>
      </c>
    </row>
    <row outlineLevel="0" r="28">
      <c r="E28" s="188" t="n">
        <f aca="false" ca="false" dt2D="false" dtr="false" t="normal">8/14*100</f>
        <v>57.14285714285714</v>
      </c>
    </row>
    <row outlineLevel="0" r="34">
      <c r="B34" s="58" t="s">
        <v>13</v>
      </c>
      <c r="C34" s="247" t="n">
        <v>0.55</v>
      </c>
    </row>
    <row ht="30" outlineLevel="0" r="35">
      <c r="B35" s="21" t="s">
        <v>53</v>
      </c>
      <c r="C35" s="247" t="n">
        <v>4.06</v>
      </c>
    </row>
    <row ht="30" outlineLevel="0" r="36">
      <c r="B36" s="21" t="s">
        <v>49</v>
      </c>
      <c r="C36" s="247" t="n">
        <v>3.49</v>
      </c>
    </row>
    <row ht="30" outlineLevel="0" r="37">
      <c r="B37" s="21" t="s">
        <v>46</v>
      </c>
      <c r="C37" s="161" t="n">
        <v>2.12</v>
      </c>
    </row>
    <row outlineLevel="0" r="38">
      <c r="B38" s="161" t="s">
        <v>38</v>
      </c>
      <c r="C38" s="161" t="n">
        <v>4.09</v>
      </c>
    </row>
    <row outlineLevel="0" r="39">
      <c r="B39" s="161" t="s">
        <v>44</v>
      </c>
      <c r="C39" s="161" t="n">
        <v>1.57</v>
      </c>
    </row>
    <row outlineLevel="0" r="40">
      <c r="B40" s="161" t="s">
        <v>48</v>
      </c>
      <c r="C40" s="161" t="n">
        <v>4.15</v>
      </c>
    </row>
    <row outlineLevel="0" r="41">
      <c r="B41" s="161" t="s">
        <v>54</v>
      </c>
      <c r="C41" s="161" t="n">
        <v>34.64</v>
      </c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5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38.425781467405"/>
    <col customWidth="true" max="3" min="3" outlineLevel="0" style="3" width="31.285155143151"/>
    <col customWidth="true" max="4" min="4" outlineLevel="0" style="3" width="26.0000003383324"/>
    <col customWidth="true" max="5" min="5" outlineLevel="0" style="3" width="15.5703124854623"/>
    <col customWidth="true" max="6" min="6" outlineLevel="0" style="3" width="13.1406246325922"/>
    <col customWidth="true" max="7" min="7" outlineLevel="0" style="3" width="28.1406237867613"/>
    <col bestFit="true" customWidth="true" max="16384" min="8" outlineLevel="0" style="3" width="9.14062530925693"/>
  </cols>
  <sheetData>
    <row customFormat="true" ht="20.25" outlineLevel="0" r="1" s="197">
      <c r="A1" s="198" t="s">
        <v>102</v>
      </c>
      <c r="B1" s="198" t="s"/>
      <c r="C1" s="198" t="s"/>
      <c r="D1" s="198" t="s"/>
      <c r="E1" s="198" t="s"/>
      <c r="F1" s="198" t="s"/>
    </row>
    <row ht="19.5" outlineLevel="0" r="2">
      <c r="A2" s="199" t="s">
        <v>158</v>
      </c>
      <c r="B2" s="199" t="s"/>
      <c r="C2" s="199" t="s"/>
      <c r="D2" s="199" t="s"/>
      <c r="E2" s="199" t="s"/>
      <c r="F2" s="199" t="s"/>
    </row>
    <row outlineLevel="0" r="4">
      <c r="F4" s="200" t="s">
        <v>135</v>
      </c>
      <c r="G4" s="3" t="n">
        <v>20</v>
      </c>
    </row>
    <row customHeight="true" ht="125.25" outlineLevel="0" r="5">
      <c r="A5" s="53" t="s">
        <v>35</v>
      </c>
      <c r="B5" s="53" t="s">
        <v>2</v>
      </c>
      <c r="C5" s="248" t="s">
        <v>159</v>
      </c>
      <c r="D5" s="248" t="s">
        <v>160</v>
      </c>
      <c r="E5" s="53" t="s">
        <v>161</v>
      </c>
      <c r="F5" s="53" t="s">
        <v>140</v>
      </c>
      <c r="G5" s="52" t="s">
        <v>162</v>
      </c>
    </row>
    <row outlineLevel="0" r="6">
      <c r="A6" s="249" t="n">
        <v>600</v>
      </c>
      <c r="B6" s="250" t="s">
        <v>51</v>
      </c>
      <c r="C6" s="251" t="n">
        <v>13142.94</v>
      </c>
      <c r="D6" s="252" t="n">
        <v>0</v>
      </c>
      <c r="E6" s="253" t="n">
        <v>0</v>
      </c>
      <c r="F6" s="254" t="n">
        <v>0</v>
      </c>
      <c r="G6" s="4" t="n">
        <f aca="false" ca="false" dt2D="false" dtr="false" t="normal">C6-D6</f>
        <v>13142.94</v>
      </c>
      <c r="H6" s="3" t="n">
        <f aca="false" ca="false" dt2D="false" dtr="false" t="normal">100-E6</f>
        <v>100</v>
      </c>
    </row>
    <row outlineLevel="0" r="7">
      <c r="A7" s="236" t="n">
        <v>601</v>
      </c>
      <c r="B7" s="255" t="s">
        <v>13</v>
      </c>
      <c r="C7" s="251" t="n">
        <v>784028.91</v>
      </c>
      <c r="D7" s="251" t="n">
        <v>812440</v>
      </c>
      <c r="E7" s="256" t="n">
        <f aca="false" ca="false" dt2D="false" dtr="false" t="normal">ROUND(C7/D7*100, 2)</f>
        <v>96.5</v>
      </c>
      <c r="F7" s="257" t="n">
        <v>5</v>
      </c>
      <c r="G7" s="4" t="n">
        <f aca="false" ca="false" dt2D="false" dtr="false" t="normal">C7-D7</f>
        <v>-28411.089999999967</v>
      </c>
      <c r="H7" s="3" t="n">
        <f aca="false" ca="false" dt2D="false" dtr="false" t="normal">100-E7</f>
        <v>3.5</v>
      </c>
    </row>
    <row ht="30" outlineLevel="0" r="8">
      <c r="A8" s="212" t="n">
        <v>602</v>
      </c>
      <c r="B8" s="258" t="s">
        <v>53</v>
      </c>
      <c r="C8" s="251" t="n">
        <v>760135076.24</v>
      </c>
      <c r="D8" s="251" t="n">
        <v>652997450</v>
      </c>
      <c r="E8" s="256" t="n">
        <f aca="false" ca="false" dt2D="false" dtr="false" t="normal">ROUND(C8/D8*100, 2)</f>
        <v>116.41</v>
      </c>
      <c r="F8" s="259" t="n">
        <v>2</v>
      </c>
      <c r="G8" s="4" t="n">
        <f aca="false" ca="false" dt2D="false" dtr="false" t="normal">C8-D8</f>
        <v>107137626.24000001</v>
      </c>
      <c r="H8" s="3" t="n">
        <f aca="false" ca="false" dt2D="false" dtr="false" t="normal">100-E8</f>
        <v>-16.409999999999997</v>
      </c>
    </row>
    <row ht="30" outlineLevel="0" r="9">
      <c r="A9" s="212" t="n">
        <v>604</v>
      </c>
      <c r="B9" s="258" t="s">
        <v>49</v>
      </c>
      <c r="C9" s="251" t="n">
        <v>50000</v>
      </c>
      <c r="D9" s="251" t="n">
        <v>15590</v>
      </c>
      <c r="E9" s="256" t="n">
        <f aca="false" ca="false" dt2D="false" dtr="false" t="normal">ROUND(C9/D9*100, 2)</f>
        <v>320.72</v>
      </c>
      <c r="F9" s="259" t="n">
        <v>0</v>
      </c>
      <c r="G9" s="4" t="n">
        <f aca="false" ca="false" dt2D="false" dtr="false" t="normal">C9-D9</f>
        <v>34410</v>
      </c>
      <c r="H9" s="3" t="n">
        <f aca="false" ca="false" dt2D="false" dtr="false" t="normal">100-E9</f>
        <v>-220.72000000000003</v>
      </c>
    </row>
    <row ht="45" outlineLevel="0" r="10">
      <c r="A10" s="212" t="n">
        <v>605</v>
      </c>
      <c r="B10" s="258" t="s">
        <v>70</v>
      </c>
      <c r="C10" s="251" t="n">
        <v>18203001.63</v>
      </c>
      <c r="D10" s="251" t="n">
        <v>14764230</v>
      </c>
      <c r="E10" s="256" t="n">
        <f aca="false" ca="false" dt2D="false" dtr="false" t="normal">ROUND(C10/D10*100, 2)</f>
        <v>123.29</v>
      </c>
      <c r="F10" s="259" t="n">
        <v>2</v>
      </c>
      <c r="G10" s="4" t="n">
        <f aca="false" ca="false" dt2D="false" dtr="false" t="normal">C10-D10</f>
        <v>3438771.629999999</v>
      </c>
      <c r="H10" s="3" t="n">
        <f aca="false" ca="false" dt2D="false" dtr="false" t="normal">100-E10</f>
        <v>-23.290000000000006</v>
      </c>
    </row>
    <row ht="30" outlineLevel="0" r="11">
      <c r="A11" s="212" t="n">
        <v>606</v>
      </c>
      <c r="B11" s="258" t="s">
        <v>46</v>
      </c>
      <c r="C11" s="251" t="n">
        <v>24457.3</v>
      </c>
      <c r="D11" s="251" t="n">
        <v>66430</v>
      </c>
      <c r="E11" s="256" t="n">
        <f aca="false" ca="false" dt2D="false" dtr="false" t="normal">ROUND(C11/D11*100, 2)</f>
        <v>36.82</v>
      </c>
      <c r="F11" s="259" t="n">
        <v>0</v>
      </c>
      <c r="G11" s="4" t="n">
        <f aca="false" ca="false" dt2D="false" dtr="false" t="normal">C11-D11</f>
        <v>-41972.7</v>
      </c>
      <c r="H11" s="3" t="n">
        <f aca="false" ca="false" dt2D="false" dtr="false" t="normal">100-E11</f>
        <v>63.18</v>
      </c>
    </row>
    <row ht="45" outlineLevel="0" r="12">
      <c r="A12" s="212" t="n">
        <v>607</v>
      </c>
      <c r="B12" s="258" t="s">
        <v>50</v>
      </c>
      <c r="C12" s="251" t="n">
        <v>80592.84</v>
      </c>
      <c r="D12" s="251" t="n">
        <v>749050</v>
      </c>
      <c r="E12" s="256" t="n">
        <f aca="false" ca="false" dt2D="false" dtr="false" t="normal">ROUND(C12/D12*100, 2)</f>
        <v>10.76</v>
      </c>
      <c r="F12" s="259" t="n">
        <v>0</v>
      </c>
      <c r="G12" s="4" t="n">
        <f aca="false" ca="false" dt2D="false" dtr="false" t="normal">C12-D12</f>
        <v>-668457.16</v>
      </c>
      <c r="H12" s="3" t="n">
        <f aca="false" ca="false" dt2D="false" dtr="false" t="normal">100-E12</f>
        <v>89.24</v>
      </c>
    </row>
    <row ht="45" outlineLevel="0" r="13">
      <c r="A13" s="212" t="n">
        <v>609</v>
      </c>
      <c r="B13" s="258" t="s">
        <v>37</v>
      </c>
      <c r="C13" s="251" t="n">
        <v>2227905.34</v>
      </c>
      <c r="D13" s="251" t="n">
        <v>2143211.75</v>
      </c>
      <c r="E13" s="256" t="n">
        <f aca="false" ca="false" dt2D="false" dtr="false" t="normal">ROUND(C13/D13*100, 2)</f>
        <v>103.95</v>
      </c>
      <c r="F13" s="259" t="n">
        <v>5</v>
      </c>
      <c r="G13" s="4" t="n">
        <f aca="false" ca="false" dt2D="false" dtr="false" t="normal">C13-D13</f>
        <v>84693.58999999985</v>
      </c>
      <c r="H13" s="3" t="n">
        <f aca="false" ca="false" dt2D="false" dtr="false" t="normal">100-E13</f>
        <v>-3.950000000000003</v>
      </c>
    </row>
    <row ht="30" outlineLevel="0" r="14">
      <c r="A14" s="212" t="n">
        <v>611</v>
      </c>
      <c r="B14" s="258" t="s">
        <v>47</v>
      </c>
      <c r="C14" s="252" t="n">
        <v>0</v>
      </c>
      <c r="D14" s="251" t="n">
        <v>1810</v>
      </c>
      <c r="E14" s="260" t="s">
        <v>93</v>
      </c>
      <c r="F14" s="259" t="n">
        <v>0</v>
      </c>
      <c r="G14" s="4" t="n">
        <f aca="false" ca="false" dt2D="false" dtr="false" t="normal">C14-D14</f>
        <v>-1810</v>
      </c>
      <c r="H14" s="3" t="e">
        <f aca="false" ca="false" dt2D="false" dtr="false" t="normal">100-E14</f>
        <v>#VALUE!</v>
      </c>
    </row>
    <row ht="30" outlineLevel="0" r="15">
      <c r="A15" s="212" t="n">
        <v>617</v>
      </c>
      <c r="B15" s="258" t="s">
        <v>42</v>
      </c>
      <c r="C15" s="251" t="n">
        <v>1396477.53</v>
      </c>
      <c r="D15" s="251" t="n">
        <v>3813772</v>
      </c>
      <c r="E15" s="256" t="n">
        <f aca="false" ca="false" dt2D="false" dtr="false" t="normal">ROUND(C15/D15*100, 2)</f>
        <v>36.62</v>
      </c>
      <c r="F15" s="257" t="n">
        <v>0</v>
      </c>
      <c r="G15" s="4" t="n">
        <f aca="false" ca="false" dt2D="false" dtr="false" t="normal">C15-D15</f>
        <v>-2417294.4699999997</v>
      </c>
      <c r="H15" s="3" t="n">
        <f aca="false" ca="false" dt2D="false" dtr="false" t="normal">100-E15</f>
        <v>63.38</v>
      </c>
    </row>
    <row ht="30" outlineLevel="0" r="16">
      <c r="A16" s="212" t="n">
        <v>618</v>
      </c>
      <c r="B16" s="258" t="s">
        <v>38</v>
      </c>
      <c r="C16" s="251" t="n">
        <v>873435.05</v>
      </c>
      <c r="D16" s="251" t="n">
        <v>528077.5</v>
      </c>
      <c r="E16" s="256" t="n">
        <f aca="false" ca="false" dt2D="false" dtr="false" t="normal">ROUND(C16/D16*100, 2)</f>
        <v>165.4</v>
      </c>
      <c r="F16" s="259" t="n">
        <v>0</v>
      </c>
      <c r="G16" s="4" t="n">
        <f aca="false" ca="false" dt2D="false" dtr="false" t="normal">C16-D16</f>
        <v>345357.55000000005</v>
      </c>
      <c r="H16" s="3" t="n">
        <f aca="false" ca="false" dt2D="false" dtr="false" t="normal">100-E16</f>
        <v>-65.4</v>
      </c>
    </row>
    <row ht="30" outlineLevel="0" r="17">
      <c r="A17" s="212" t="n">
        <v>619</v>
      </c>
      <c r="B17" s="258" t="s">
        <v>44</v>
      </c>
      <c r="C17" s="251" t="n">
        <v>4343508.83</v>
      </c>
      <c r="D17" s="251" t="n">
        <v>4317933.44</v>
      </c>
      <c r="E17" s="256" t="n">
        <f aca="false" ca="false" dt2D="false" dtr="false" t="normal">ROUND(C17/D17*100, 2)</f>
        <v>100.59</v>
      </c>
      <c r="F17" s="257" t="n">
        <v>5</v>
      </c>
      <c r="G17" s="4" t="n">
        <f aca="false" ca="false" dt2D="false" dtr="false" t="normal">C17-D17</f>
        <v>25575.389999999665</v>
      </c>
      <c r="H17" s="3" t="n">
        <f aca="false" ca="false" dt2D="false" dtr="false" t="normal">100-E17</f>
        <v>-0.5900000000000034</v>
      </c>
    </row>
    <row ht="30" outlineLevel="0" r="18">
      <c r="A18" s="212" t="n">
        <v>620</v>
      </c>
      <c r="B18" s="258" t="s">
        <v>48</v>
      </c>
      <c r="C18" s="251" t="n">
        <v>8957414.27</v>
      </c>
      <c r="D18" s="251" t="n">
        <v>5659839.85</v>
      </c>
      <c r="E18" s="256" t="n">
        <f aca="false" ca="false" dt2D="false" dtr="false" t="normal">ROUND(C18/D18*100, 2)</f>
        <v>158.26</v>
      </c>
      <c r="F18" s="259" t="n">
        <v>0</v>
      </c>
      <c r="G18" s="4" t="n">
        <f aca="false" ca="false" dt2D="false" dtr="false" t="normal">C18-D18</f>
        <v>3297574.42</v>
      </c>
      <c r="H18" s="3" t="n">
        <f aca="false" ca="false" dt2D="false" dtr="false" t="normal">100-E18</f>
        <v>-58.25999999999999</v>
      </c>
    </row>
    <row ht="30" outlineLevel="0" r="19">
      <c r="A19" s="212" t="n">
        <v>621</v>
      </c>
      <c r="B19" s="258" t="s">
        <v>54</v>
      </c>
      <c r="C19" s="251" t="n">
        <v>60596835.12</v>
      </c>
      <c r="D19" s="251" t="n">
        <v>5135200</v>
      </c>
      <c r="E19" s="256" t="n">
        <f aca="false" ca="false" dt2D="false" dtr="false" t="normal">ROUND(C19/D19*100, 2)</f>
        <v>1180.03</v>
      </c>
      <c r="F19" s="259" t="n">
        <v>0</v>
      </c>
      <c r="G19" s="4" t="n">
        <f aca="false" ca="false" dt2D="false" dtr="false" t="normal">C19-D19</f>
        <v>55461635.12</v>
      </c>
      <c r="H19" s="3" t="n">
        <f aca="false" ca="false" dt2D="false" dtr="false" t="normal">100-E19</f>
        <v>-1080.03</v>
      </c>
    </row>
    <row ht="45" outlineLevel="0" r="20">
      <c r="A20" s="212" t="n">
        <v>624</v>
      </c>
      <c r="B20" s="258" t="s">
        <v>40</v>
      </c>
      <c r="C20" s="251" t="n">
        <v>1227650.34</v>
      </c>
      <c r="D20" s="251" t="n">
        <v>119490</v>
      </c>
      <c r="E20" s="256" t="n">
        <f aca="false" ca="false" dt2D="false" dtr="false" t="normal">ROUND(C20/D20*100, 2)</f>
        <v>1027.41</v>
      </c>
      <c r="F20" s="257" t="n">
        <v>0</v>
      </c>
      <c r="G20" s="4" t="n">
        <f aca="false" ca="false" dt2D="false" dtr="false" t="normal">C20-D20</f>
        <v>1108160.34</v>
      </c>
      <c r="H20" s="3" t="n">
        <f aca="false" ca="false" dt2D="false" dtr="false" t="normal">100-E20</f>
        <v>-927.4100000000001</v>
      </c>
    </row>
    <row ht="30" outlineLevel="0" r="21">
      <c r="A21" s="212" t="n">
        <v>643</v>
      </c>
      <c r="B21" s="258" t="s">
        <v>52</v>
      </c>
      <c r="C21" s="252" t="n">
        <v>0</v>
      </c>
      <c r="D21" s="251" t="n">
        <v>10000</v>
      </c>
      <c r="E21" s="253" t="n">
        <f aca="false" ca="false" dt2D="false" dtr="false" t="normal">ROUND(C21/D21*100, 2)</f>
        <v>0</v>
      </c>
      <c r="F21" s="261" t="n">
        <v>0</v>
      </c>
      <c r="G21" s="4" t="n">
        <f aca="false" ca="false" dt2D="false" dtr="false" t="normal">C21-D21</f>
        <v>-10000</v>
      </c>
      <c r="H21" s="3" t="n">
        <f aca="false" ca="false" dt2D="false" dtr="false" t="normal">100-E21</f>
        <v>100</v>
      </c>
    </row>
    <row outlineLevel="0" r="22">
      <c r="A22" s="238" t="n"/>
      <c r="B22" s="238" t="n"/>
      <c r="C22" s="206" t="n"/>
      <c r="D22" s="206" t="n"/>
      <c r="G22" s="4" t="n"/>
    </row>
    <row outlineLevel="0" r="23">
      <c r="A23" s="238" t="n"/>
      <c r="B23" s="238" t="s">
        <v>23</v>
      </c>
      <c r="C23" s="207" t="n"/>
      <c r="D23" s="207" t="n"/>
      <c r="E23" s="158" t="n">
        <f aca="false" ca="false" dt2D="false" dtr="false" t="normal">ROUND(E22/14, 2)</f>
        <v>0</v>
      </c>
      <c r="F23" s="262" t="n">
        <v>19</v>
      </c>
    </row>
    <row outlineLevel="0" r="24">
      <c r="A24" s="238" t="n"/>
      <c r="B24" s="242" t="s">
        <v>24</v>
      </c>
      <c r="C24" s="207" t="n">
        <f aca="false" ca="false" dt2D="false" dtr="false" t="normal">SUM(C6:C21)</f>
        <v>858913526.34</v>
      </c>
      <c r="D24" s="207" t="n">
        <f aca="false" ca="false" dt2D="false" dtr="false" t="normal">SUM(D6:D21)</f>
        <v>691134524.5400001</v>
      </c>
      <c r="E24" s="158" t="n">
        <f aca="false" ca="false" dt2D="false" dtr="false" t="normal">ROUND((C24-D24)/C24*100, 2)</f>
        <v>19.53</v>
      </c>
      <c r="F24" s="263" t="n">
        <v>1.46</v>
      </c>
      <c r="G24" s="4" t="n"/>
    </row>
    <row outlineLevel="0" r="25">
      <c r="C25" s="207" t="n">
        <f aca="false" ca="false" dt2D="false" dtr="false" t="normal">SUM(C6:C21)</f>
        <v>858913526.34</v>
      </c>
      <c r="D25" s="207" t="n">
        <f aca="false" ca="false" dt2D="false" dtr="false" t="normal">SUM(D6:D21)</f>
        <v>691134524.5400001</v>
      </c>
      <c r="E25" s="158" t="n">
        <f aca="false" ca="false" dt2D="false" dtr="false" t="normal">ROUND((C25-D25)/C25*100, 2)</f>
        <v>19.53</v>
      </c>
      <c r="G25" s="4" t="n"/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18.855468305278"/>
    <col customWidth="true" max="4" min="4" outlineLevel="0" style="3" width="20.0000006766647"/>
    <col customWidth="true" max="5" min="5" outlineLevel="0" style="3" width="20.2851566656466"/>
    <col customWidth="true" max="6" min="6" outlineLevel="0" style="3" width="23.5703138387917"/>
    <col customWidth="true" max="7" min="7" outlineLevel="0" style="3" width="20.1406251400907"/>
    <col customWidth="true" max="8" min="8" outlineLevel="0" style="3" width="13.1406246325922"/>
    <col customWidth="true" max="9" min="9" outlineLevel="0" style="3" width="17.8554688127765"/>
    <col customWidth="true" max="10" min="10" outlineLevel="0" style="3" width="29.5703135004594"/>
    <col bestFit="true" customWidth="true" max="11" min="11" outlineLevel="0" style="3" width="9.14062530925693"/>
    <col bestFit="true" customWidth="true" max="12" min="12" outlineLevel="0" style="3" width="15.8554684744441"/>
    <col bestFit="true" customWidth="true" max="13" min="13" outlineLevel="0" style="3" width="9.14062530925693"/>
    <col bestFit="true" customWidth="true" max="14" min="14" outlineLevel="0" style="3" width="13.285156158148"/>
    <col bestFit="true" customWidth="true" max="16384" min="15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  <c r="G1" s="198" t="s"/>
      <c r="H1" s="198" t="s"/>
    </row>
    <row ht="19.5" outlineLevel="0" r="2">
      <c r="A2" s="199" t="s">
        <v>163</v>
      </c>
      <c r="B2" s="199" t="s"/>
      <c r="C2" s="199" t="s"/>
      <c r="D2" s="199" t="s"/>
      <c r="E2" s="199" t="s"/>
      <c r="F2" s="199" t="s"/>
      <c r="G2" s="199" t="s"/>
      <c r="H2" s="199" t="s"/>
    </row>
    <row outlineLevel="0" r="3">
      <c r="J3" s="3" t="n">
        <v>15</v>
      </c>
    </row>
    <row outlineLevel="0" r="4">
      <c r="H4" s="200" t="s">
        <v>135</v>
      </c>
    </row>
    <row customHeight="true" ht="107.25" outlineLevel="0" r="5">
      <c r="A5" s="53" t="s">
        <v>35</v>
      </c>
      <c r="B5" s="53" t="s">
        <v>2</v>
      </c>
      <c r="C5" s="264" t="s">
        <v>164</v>
      </c>
      <c r="D5" s="53" t="s">
        <v>165</v>
      </c>
      <c r="E5" s="53" t="s">
        <v>166</v>
      </c>
      <c r="F5" s="53" t="s">
        <v>167</v>
      </c>
      <c r="G5" s="53" t="s">
        <v>168</v>
      </c>
      <c r="H5" s="53" t="s">
        <v>140</v>
      </c>
      <c r="J5" s="52" t="s">
        <v>169</v>
      </c>
    </row>
    <row outlineLevel="0" r="6">
      <c r="A6" s="212" t="n">
        <v>600</v>
      </c>
      <c r="B6" s="212" t="s">
        <v>51</v>
      </c>
      <c r="C6" s="265" t="n">
        <v>55925104.17</v>
      </c>
      <c r="D6" s="265" t="n">
        <v>38995288.07</v>
      </c>
      <c r="E6" s="265" t="n">
        <f aca="false" ca="false" dt2D="false" dtr="false" t="normal">C6-D6</f>
        <v>16929816.1</v>
      </c>
      <c r="F6" s="266" t="n">
        <f aca="false" ca="false" dt2D="false" dtr="false" t="normal">ROUND(D6/3, 2)</f>
        <v>12998429.36</v>
      </c>
      <c r="G6" s="267" t="n">
        <f aca="false" ca="false" dt2D="false" dtr="false" t="normal">ROUND((E6-F6)/F6*100, 2)</f>
        <v>30.25</v>
      </c>
      <c r="H6" s="215" t="n">
        <f aca="false" ca="false" dt2D="false" dtr="false" t="normal">VALUE(LEFT(I6, 1))</f>
        <v>4</v>
      </c>
      <c r="I6" s="186" t="str">
        <f aca="false" ca="false" dt2D="false" dtr="false" t="normal">LOOKUP(G6, {0, 1, 10, 24.99, 25, 30, 39.99, 40, 50, 59.99, 60, 70, 79.99, 80, 90, 99.99, 100}, {"5+", "5", "5-", "4+", "4", "4-", "3+", "3", "3-", "2+", "2", "2-", "1+", "1", "1-", "0"})</f>
        <v>4-</v>
      </c>
      <c r="J6" s="268" t="n">
        <f aca="false" ca="false" dt2D="false" dtr="false" t="normal">E6-F6</f>
        <v>3931386.740000002</v>
      </c>
    </row>
    <row outlineLevel="0" r="7">
      <c r="A7" s="212" t="n">
        <v>601</v>
      </c>
      <c r="B7" s="212" t="s">
        <v>13</v>
      </c>
      <c r="C7" s="265" t="n">
        <v>337439276.84</v>
      </c>
      <c r="D7" s="265" t="n">
        <v>258256807.26</v>
      </c>
      <c r="E7" s="265" t="n">
        <f aca="false" ca="false" dt2D="false" dtr="false" t="normal">C7-D7</f>
        <v>79182469.57999998</v>
      </c>
      <c r="F7" s="266" t="n">
        <f aca="false" ca="false" dt2D="false" dtr="false" t="normal">ROUND(D7/3, 2)</f>
        <v>86085602.42</v>
      </c>
      <c r="G7" s="267" t="n">
        <f aca="false" ca="false" dt2D="false" dtr="false" t="normal">ROUND((E7-F7)/F7*100, 2)</f>
        <v>-8.02</v>
      </c>
      <c r="H7" s="215" t="n">
        <v>5</v>
      </c>
      <c r="I7" s="186" t="e">
        <f aca="false" ca="false" dt2D="false" dtr="false" t="normal">LOOKUP(G7, {0, 1, 10, 24.99, 25, 30, 39.99, 40, 50, 59.99, 60, 70, 79.99, 80, 90, 99.99, 100}, {"5+", "5", "5-", "4+", "4", "4-", "3+", "3", "3-", "2+", "2", "2-", "1+", "1", "1-", "0"})</f>
        <v>#N/A</v>
      </c>
      <c r="J7" s="268" t="n">
        <f aca="false" ca="false" dt2D="false" dtr="false" t="normal">E7-F7</f>
        <v>-6903132.8400000185</v>
      </c>
      <c r="K7" s="226" t="n">
        <f aca="false" ca="false" dt2D="false" dtr="false" t="normal">C7-J7</f>
        <v>344342409.68</v>
      </c>
      <c r="L7" s="226" t="n">
        <f aca="false" ca="false" dt2D="false" dtr="false" t="normal">E7+D7-C7</f>
        <v>0</v>
      </c>
      <c r="N7" s="226" t="n">
        <f aca="false" ca="false" dt2D="false" dtr="false" t="normal">C7-D7-E7</f>
        <v>0</v>
      </c>
    </row>
    <row ht="30" outlineLevel="0" r="8">
      <c r="A8" s="212" t="n">
        <v>602</v>
      </c>
      <c r="B8" s="212" t="s">
        <v>53</v>
      </c>
      <c r="C8" s="265" t="n">
        <v>221310168.77</v>
      </c>
      <c r="D8" s="265" t="n">
        <v>144039683.97</v>
      </c>
      <c r="E8" s="265" t="n">
        <f aca="false" ca="false" dt2D="false" dtr="false" t="normal">C8-D8</f>
        <v>77270484.80000001</v>
      </c>
      <c r="F8" s="266" t="n">
        <f aca="false" ca="false" dt2D="false" dtr="false" t="normal">ROUND(D8/3, 2)</f>
        <v>48013227.99</v>
      </c>
      <c r="G8" s="267" t="n">
        <f aca="false" ca="false" dt2D="false" dtr="false" t="normal">ROUND((E8-F8)/F8*100, 2)</f>
        <v>60.94</v>
      </c>
      <c r="H8" s="215" t="n">
        <f aca="false" ca="false" dt2D="false" dtr="false" t="normal">VALUE(LEFT(I8, 1))</f>
        <v>2</v>
      </c>
      <c r="I8" s="186" t="str">
        <f aca="false" ca="false" dt2D="false" dtr="false" t="normal">LOOKUP(G8, {0, 1, 10, 24.99, 25, 30, 39.99, 40, 50, 59.99, 60, 70, 79.99, 80, 90, 99.99, 100}, {"5+", "5", "5-", "4+", "4", "4-", "3+", "3", "3-", "2+", "2", "2-", "1+", "1", "1-", "0"})</f>
        <v>2</v>
      </c>
      <c r="J8" s="268" t="n">
        <f aca="false" ca="false" dt2D="false" dtr="false" t="normal">E8-F8</f>
        <v>29257256.81000001</v>
      </c>
      <c r="K8" s="226" t="n">
        <f aca="false" ca="false" dt2D="false" dtr="false" t="normal">C8-J8</f>
        <v>192052911.96</v>
      </c>
      <c r="L8" s="226" t="n">
        <f aca="false" ca="false" dt2D="false" dtr="false" t="normal">E8+D8-C8</f>
        <v>0</v>
      </c>
      <c r="N8" s="226" t="n">
        <f aca="false" ca="false" dt2D="false" dtr="false" t="normal">C8-D8-E8</f>
        <v>0</v>
      </c>
    </row>
    <row ht="30" outlineLevel="0" r="9">
      <c r="A9" s="212" t="n">
        <v>604</v>
      </c>
      <c r="B9" s="212" t="s">
        <v>49</v>
      </c>
      <c r="C9" s="265" t="n">
        <v>160093193.29</v>
      </c>
      <c r="D9" s="265" t="n">
        <v>117162785.7</v>
      </c>
      <c r="E9" s="265" t="n">
        <f aca="false" ca="false" dt2D="false" dtr="false" t="normal">C9-D9</f>
        <v>42930407.58999999</v>
      </c>
      <c r="F9" s="266" t="n">
        <f aca="false" ca="false" dt2D="false" dtr="false" t="normal">ROUND(D9/3, 2)</f>
        <v>39054261.9</v>
      </c>
      <c r="G9" s="267" t="n">
        <f aca="false" ca="false" dt2D="false" dtr="false" t="normal">ROUND((E9-F9)/F9*100, 2)</f>
        <v>9.93</v>
      </c>
      <c r="H9" s="215" t="n">
        <f aca="false" ca="false" dt2D="false" dtr="false" t="normal">VALUE(LEFT(I9, 1))</f>
        <v>5</v>
      </c>
      <c r="I9" s="269" t="str">
        <f aca="false" ca="false" dt2D="false" dtr="false" t="normal">LOOKUP(G9, {0, 1, 10, 24.99, 25, 30, 39.99, 40, 50, 59.99, 60, 70, 79.99, 80, 90, 99.99, 100}, {"5+", "5", "5-", "4+", "4", "4-", "3+", "3", "3-", "2+", "2", "2-", "1+", "1", "1-", "0"})</f>
        <v>5</v>
      </c>
      <c r="J9" s="268" t="n">
        <f aca="false" ca="false" dt2D="false" dtr="false" t="normal">E9-F9</f>
        <v>3876145.68999999</v>
      </c>
      <c r="K9" s="226" t="n">
        <f aca="false" ca="false" dt2D="false" dtr="false" t="normal">C9-J9</f>
        <v>156217047.6</v>
      </c>
      <c r="L9" s="226" t="n">
        <f aca="false" ca="false" dt2D="false" dtr="false" t="normal">E9+D9-C9</f>
        <v>0</v>
      </c>
      <c r="N9" s="226" t="n">
        <f aca="false" ca="false" dt2D="false" dtr="false" t="normal">C9-D9-E9</f>
        <v>0</v>
      </c>
    </row>
    <row ht="45" outlineLevel="0" r="10">
      <c r="A10" s="212" t="n">
        <v>605</v>
      </c>
      <c r="B10" s="212" t="s">
        <v>45</v>
      </c>
      <c r="C10" s="265" t="n">
        <v>200917806.01</v>
      </c>
      <c r="D10" s="265" t="n">
        <v>126443476.46</v>
      </c>
      <c r="E10" s="265" t="n">
        <f aca="false" ca="false" dt2D="false" dtr="false" t="normal">C10-D10</f>
        <v>74474329.55</v>
      </c>
      <c r="F10" s="266" t="n">
        <f aca="false" ca="false" dt2D="false" dtr="false" t="normal">ROUND(D10/3, 2)</f>
        <v>42147825.49</v>
      </c>
      <c r="G10" s="267" t="n">
        <f aca="false" ca="false" dt2D="false" dtr="false" t="normal">ROUND((E10-F10)/F10*100, 2)</f>
        <v>76.7</v>
      </c>
      <c r="H10" s="215" t="n">
        <f aca="false" ca="false" dt2D="false" dtr="false" t="normal">VALUE(LEFT(I10, 1))</f>
        <v>2</v>
      </c>
      <c r="I10" s="186" t="str">
        <f aca="false" ca="false" dt2D="false" dtr="false" t="normal">LOOKUP(G10, {0, 1, 10, 24.99, 25, 30, 39.99, 40, 50, 59.99, 60, 70, 79.99, 80, 90, 99.99, 100}, {"5+", "5", "5-", "4+", "4", "4-", "3+", "3", "3-", "2+", "2", "2-", "1+", "1", "1-", "0"})</f>
        <v>2-</v>
      </c>
      <c r="J10" s="268" t="n">
        <f aca="false" ca="false" dt2D="false" dtr="false" t="normal">E10-F10</f>
        <v>32326504.059999995</v>
      </c>
      <c r="K10" s="226" t="n">
        <f aca="false" ca="false" dt2D="false" dtr="false" t="normal">C10-J10</f>
        <v>168591301.95</v>
      </c>
      <c r="L10" s="226" t="n">
        <f aca="false" ca="false" dt2D="false" dtr="false" t="normal">E10+D10-C10</f>
        <v>0</v>
      </c>
      <c r="N10" s="226" t="n">
        <f aca="false" ca="false" dt2D="false" dtr="false" t="normal">C10-D10-E10</f>
        <v>0</v>
      </c>
    </row>
    <row ht="30" outlineLevel="0" r="11">
      <c r="A11" s="212" t="n">
        <v>606</v>
      </c>
      <c r="B11" s="212" t="s">
        <v>46</v>
      </c>
      <c r="C11" s="265" t="n">
        <v>6238168462.95</v>
      </c>
      <c r="D11" s="265" t="n">
        <v>3931457380.78</v>
      </c>
      <c r="E11" s="265" t="n">
        <f aca="false" ca="false" dt2D="false" dtr="false" t="normal">C11-D11</f>
        <v>2306711082.1699996</v>
      </c>
      <c r="F11" s="266" t="n">
        <f aca="false" ca="false" dt2D="false" dtr="false" t="normal">ROUND(D11/3, 2)</f>
        <v>1310485793.59</v>
      </c>
      <c r="G11" s="267" t="n">
        <f aca="false" ca="false" dt2D="false" dtr="false" t="normal">ROUND((E11-F11)/F11*100, 2)</f>
        <v>76.02</v>
      </c>
      <c r="H11" s="215" t="n">
        <f aca="false" ca="false" dt2D="false" dtr="false" t="normal">VALUE(LEFT(I11, 1))</f>
        <v>2</v>
      </c>
      <c r="I11" s="186" t="str">
        <f aca="false" ca="false" dt2D="false" dtr="false" t="normal">LOOKUP(G11, {0, 1, 10, 24.99, 25, 30, 39.99, 40, 50, 59.99, 60, 70, 79.99, 80, 90, 99.99, 100}, {"5+", "5", "5-", "4+", "4", "4-", "3+", "3", "3-", "2+", "2", "2-", "1+", "1", "1-", "0"})</f>
        <v>2-</v>
      </c>
      <c r="J11" s="268" t="n">
        <f aca="false" ca="false" dt2D="false" dtr="false" t="normal">E11-F11</f>
        <v>996225288.5799997</v>
      </c>
      <c r="K11" s="226" t="n">
        <f aca="false" ca="false" dt2D="false" dtr="false" t="normal">C11-J11</f>
        <v>5241943174.37</v>
      </c>
      <c r="L11" s="226" t="n">
        <f aca="false" ca="false" dt2D="false" dtr="false" t="normal">E11+D11-C11</f>
        <v>0</v>
      </c>
      <c r="N11" s="226" t="n">
        <f aca="false" ca="false" dt2D="false" dtr="false" t="normal">C11-D11-E11</f>
        <v>0</v>
      </c>
    </row>
    <row ht="30" outlineLevel="0" r="12">
      <c r="A12" s="212" t="n">
        <v>607</v>
      </c>
      <c r="B12" s="212" t="s">
        <v>50</v>
      </c>
      <c r="C12" s="265" t="n">
        <v>771344610.74</v>
      </c>
      <c r="D12" s="265" t="n">
        <v>487997374.86</v>
      </c>
      <c r="E12" s="265" t="n">
        <f aca="false" ca="false" dt2D="false" dtr="false" t="normal">C12-D12</f>
        <v>283347235.88</v>
      </c>
      <c r="F12" s="266" t="n">
        <f aca="false" ca="false" dt2D="false" dtr="false" t="normal">ROUND(D12/3, 2)</f>
        <v>162665791.62</v>
      </c>
      <c r="G12" s="267" t="n">
        <f aca="false" ca="false" dt2D="false" dtr="false" t="normal">ROUND((E12-F12)/F12*100, 2)</f>
        <v>74.19</v>
      </c>
      <c r="H12" s="215" t="n">
        <f aca="false" ca="false" dt2D="false" dtr="false" t="normal">VALUE(LEFT(I12, 1))</f>
        <v>2</v>
      </c>
      <c r="I12" s="186" t="str">
        <f aca="false" ca="false" dt2D="false" dtr="false" t="normal">LOOKUP(G12, {0, 1, 10, 24.99, 25, 30, 39.99, 40, 50, 59.99, 60, 70, 79.99, 80, 90, 99.99, 100, 140, 200, 750, 779, 800}, {"5+", "5", "5-", "4+", "4", "4-", "3+", "3", "3-", "2+", "2", "2-", "1+", "1", "1-", "0+", "0", "0-"})</f>
        <v>2-</v>
      </c>
      <c r="J12" s="268" t="n">
        <f aca="false" ca="false" dt2D="false" dtr="false" t="normal">E12-F12</f>
        <v>120681444.25999999</v>
      </c>
      <c r="K12" s="226" t="n">
        <f aca="false" ca="false" dt2D="false" dtr="false" t="normal">C12-J12</f>
        <v>650663166.48</v>
      </c>
      <c r="L12" s="226" t="n">
        <f aca="false" ca="false" dt2D="false" dtr="false" t="normal">E12+D12-C12</f>
        <v>0</v>
      </c>
      <c r="N12" s="226" t="n">
        <f aca="false" ca="false" dt2D="false" dtr="false" t="normal">C12-D12-E12</f>
        <v>0</v>
      </c>
    </row>
    <row ht="45" outlineLevel="0" r="13">
      <c r="A13" s="236" t="n">
        <v>609</v>
      </c>
      <c r="B13" s="236" t="s">
        <v>37</v>
      </c>
      <c r="C13" s="265" t="n">
        <v>4027776522.84</v>
      </c>
      <c r="D13" s="265" t="n">
        <v>2986439015.56</v>
      </c>
      <c r="E13" s="265" t="n">
        <f aca="false" ca="false" dt2D="false" dtr="false" t="normal">C13-D13</f>
        <v>1041337507.2800002</v>
      </c>
      <c r="F13" s="266" t="n">
        <f aca="false" ca="false" dt2D="false" dtr="false" t="normal">ROUND(D13/3, 2)</f>
        <v>995479671.85</v>
      </c>
      <c r="G13" s="267" t="n">
        <f aca="false" ca="false" dt2D="false" dtr="false" t="normal">ROUND(ABS(E13-F13)/F13*100, 2)</f>
        <v>4.61</v>
      </c>
      <c r="H13" s="219" t="n">
        <v>5</v>
      </c>
      <c r="I13" s="270" t="str">
        <f aca="false" ca="false" dt2D="false" dtr="false" t="normal">LOOKUP(G13, {0, 1, 10, 24.99, 25, 30, 39.99, 40, 50, 59.99, 60, 70, 79.99, 80, 90, 99.99, 100, 140, 750}, {"5+", "5", "5-", "4+", "4", "4-", "3+", "3", "3-", "2+", "2", "2-", "1+", "1", "1-", "0", "0-"})</f>
        <v>5</v>
      </c>
      <c r="J13" s="268" t="n">
        <f aca="false" ca="false" dt2D="false" dtr="false" t="normal">E13-F13</f>
        <v>45857835.430000186</v>
      </c>
      <c r="K13" s="226" t="n"/>
      <c r="N13" s="226" t="n">
        <f aca="false" ca="false" dt2D="false" dtr="false" t="normal">C13-D13-E13</f>
        <v>0</v>
      </c>
    </row>
    <row ht="30" outlineLevel="0" r="14">
      <c r="A14" s="212" t="n">
        <v>611</v>
      </c>
      <c r="B14" s="212" t="s">
        <v>47</v>
      </c>
      <c r="C14" s="265" t="n">
        <v>271597087.64</v>
      </c>
      <c r="D14" s="265" t="n">
        <v>183079453.3</v>
      </c>
      <c r="E14" s="265" t="n">
        <f aca="false" ca="false" dt2D="false" dtr="false" t="normal">C14-D14</f>
        <v>88517634.33999997</v>
      </c>
      <c r="F14" s="266" t="n">
        <f aca="false" ca="false" dt2D="false" dtr="false" t="normal">ROUND(D14/3, 2)</f>
        <v>61026484.43</v>
      </c>
      <c r="G14" s="267" t="n">
        <f aca="false" ca="false" dt2D="false" dtr="false" t="normal">ROUND((E14-F14)/F14*100, 2)</f>
        <v>45.05</v>
      </c>
      <c r="H14" s="215" t="n">
        <f aca="false" ca="false" dt2D="false" dtr="false" t="normal">VALUE(LEFT(I14, 1))</f>
        <v>3</v>
      </c>
      <c r="I14" s="186" t="str">
        <f aca="false" ca="false" dt2D="false" dtr="false" t="normal">LOOKUP(G14, {0, 1, 10, 24.99, 25, 30, 39.99, 40, 50, 59.99, 60, 70, 79.99, 80, 90, 99.99, 100, 140, 750}, {"5+", "5", "5-", "4+", "4", "4-", "3+", "3", "3-", "2+", "2", "2-", "1+", "1", "1-", "0", "0-"})</f>
        <v>3</v>
      </c>
      <c r="J14" s="268" t="n">
        <f aca="false" ca="false" dt2D="false" dtr="false" t="normal">E14-F14</f>
        <v>27491149.909999974</v>
      </c>
      <c r="K14" s="226" t="n">
        <f aca="false" ca="false" dt2D="false" dtr="false" t="normal">C14-J14</f>
        <v>244105937.73000002</v>
      </c>
      <c r="L14" s="226" t="n">
        <f aca="false" ca="false" dt2D="false" dtr="false" t="normal">E14+D14-C14</f>
        <v>0</v>
      </c>
      <c r="N14" s="226" t="n">
        <f aca="false" ca="false" dt2D="false" dtr="false" t="normal">C14-D14-E14</f>
        <v>0</v>
      </c>
    </row>
    <row ht="30" outlineLevel="0" r="15">
      <c r="A15" s="212" t="n">
        <v>617</v>
      </c>
      <c r="B15" s="212" t="s">
        <v>42</v>
      </c>
      <c r="C15" s="265" t="n">
        <v>220617806.47</v>
      </c>
      <c r="D15" s="265" t="n">
        <v>167681325.92</v>
      </c>
      <c r="E15" s="265" t="n">
        <f aca="false" ca="false" dt2D="false" dtr="false" t="normal">C15-D15</f>
        <v>52936480.55000001</v>
      </c>
      <c r="F15" s="266" t="n">
        <f aca="false" ca="false" dt2D="false" dtr="false" t="normal">ROUND(D15/3, 2)</f>
        <v>55893775.31</v>
      </c>
      <c r="G15" s="267" t="n">
        <f aca="false" ca="false" dt2D="false" dtr="false" t="normal">ROUND((E15-F15)/F15*100, 2)</f>
        <v>-5.29</v>
      </c>
      <c r="H15" s="215" t="n">
        <v>5</v>
      </c>
      <c r="I15" s="186" t="e">
        <f aca="false" ca="false" dt2D="false" dtr="false" t="normal">LOOKUP(G15, {0, 1, 10, 24.99, 25, 30, 39.99, 40, 50, 59.99, 60, 70, 79.99, 80, 90, 99.99, 100, 140, 750}, {"5+", "5", "5-", "4+", "4", "4-", "3+", "3", "3-", "2+", "2", "2-", "1+", "1", "1-", "0", "0-"})</f>
        <v>#N/A</v>
      </c>
      <c r="J15" s="268" t="n">
        <f aca="false" ca="false" dt2D="false" dtr="false" t="normal">E15-F15</f>
        <v>-2957294.7599999905</v>
      </c>
      <c r="K15" s="226" t="n">
        <f aca="false" ca="false" dt2D="false" dtr="false" t="normal">C15-J15</f>
        <v>223575101.23</v>
      </c>
      <c r="L15" s="226" t="n">
        <f aca="false" ca="false" dt2D="false" dtr="false" t="normal">E15+D15-C15</f>
        <v>0</v>
      </c>
      <c r="N15" s="226" t="n">
        <f aca="false" ca="false" dt2D="false" dtr="false" t="normal">C15-D15-E15</f>
        <v>0</v>
      </c>
    </row>
    <row ht="30" outlineLevel="0" r="16">
      <c r="A16" s="212" t="n">
        <v>618</v>
      </c>
      <c r="B16" s="212" t="s">
        <v>38</v>
      </c>
      <c r="C16" s="265" t="n">
        <v>223307954.18</v>
      </c>
      <c r="D16" s="265" t="n">
        <v>166817968.57</v>
      </c>
      <c r="E16" s="265" t="n">
        <f aca="false" ca="false" dt2D="false" dtr="false" t="normal">C16-D16</f>
        <v>56489985.610000014</v>
      </c>
      <c r="F16" s="266" t="n">
        <f aca="false" ca="false" dt2D="false" dtr="false" t="normal">ROUND(D16/3, 2)</f>
        <v>55605989.52</v>
      </c>
      <c r="G16" s="267" t="n">
        <f aca="false" ca="false" dt2D="false" dtr="false" t="normal">ROUND((E16-F16)/F16*100, 2)</f>
        <v>1.59</v>
      </c>
      <c r="H16" s="215" t="n">
        <f aca="false" ca="false" dt2D="false" dtr="false" t="normal">VALUE(LEFT(I16, 1))</f>
        <v>5</v>
      </c>
      <c r="I16" s="186" t="str">
        <f aca="false" ca="false" dt2D="false" dtr="false" t="normal">LOOKUP(G16, {0, 1, 10, 24.99, 25, 30, 39.99, 40, 50, 59.99, 60, 70, 79.99, 80, 90, 99.99, 100, 140, 750}, {"5+", "5", "5-", "4+", "4", "4-", "3+", "3", "3-", "2+", "2", "2-", "1+", "1", "1-", "0", "0-"})</f>
        <v>5</v>
      </c>
      <c r="J16" s="268" t="n">
        <f aca="false" ca="false" dt2D="false" dtr="false" t="normal">E16-F16</f>
        <v>883996.090000011</v>
      </c>
      <c r="K16" s="226" t="n">
        <f aca="false" ca="false" dt2D="false" dtr="false" t="normal">C16-J16</f>
        <v>222423958.09</v>
      </c>
      <c r="L16" s="226" t="n">
        <f aca="false" ca="false" dt2D="false" dtr="false" t="normal">E16+D16-C16</f>
        <v>0</v>
      </c>
      <c r="N16" s="226" t="n">
        <f aca="false" ca="false" dt2D="false" dtr="false" t="normal">C16-D16-E16</f>
        <v>0</v>
      </c>
    </row>
    <row ht="30" outlineLevel="0" r="17">
      <c r="A17" s="212" t="n">
        <v>619</v>
      </c>
      <c r="B17" s="212" t="s">
        <v>44</v>
      </c>
      <c r="C17" s="265" t="n">
        <v>363189849.59</v>
      </c>
      <c r="D17" s="265" t="n">
        <v>262358059.45</v>
      </c>
      <c r="E17" s="265" t="n">
        <f aca="false" ca="false" dt2D="false" dtr="false" t="normal">C17-D17</f>
        <v>100831790.13999999</v>
      </c>
      <c r="F17" s="266" t="n">
        <f aca="false" ca="false" dt2D="false" dtr="false" t="normal">ROUND(D17/3, 2)</f>
        <v>87452686.48</v>
      </c>
      <c r="G17" s="267" t="n">
        <f aca="false" ca="false" dt2D="false" dtr="false" t="normal">ROUND((E17-F17)/F17*100, 2)</f>
        <v>15.3</v>
      </c>
      <c r="H17" s="215" t="n">
        <f aca="false" ca="false" dt2D="false" dtr="false" t="normal">VALUE(LEFT(I17, 1))</f>
        <v>5</v>
      </c>
      <c r="I17" s="186" t="str">
        <f aca="false" ca="false" dt2D="false" dtr="false" t="normal">LOOKUP(G17, {0, 1, 10, 24.99, 25, 30, 39.99, 40, 50, 59.99, 60, 70, 79.99, 80, 90, 99.99, 100, 140, 750}, {"5+", "5", "5-", "4+", "4", "4-", "3+", "3", "3-", "2+", "2", "2-", "1+", "1", "1-", "0", "0-"})</f>
        <v>5-</v>
      </c>
      <c r="J17" s="268" t="n">
        <f aca="false" ca="false" dt2D="false" dtr="false" t="normal">E17-F17</f>
        <v>13379103.659999982</v>
      </c>
      <c r="K17" s="226" t="n">
        <f aca="false" ca="false" dt2D="false" dtr="false" t="normal">C17-J17</f>
        <v>349810745.93</v>
      </c>
      <c r="L17" s="226" t="n">
        <f aca="false" ca="false" dt2D="false" dtr="false" t="normal">E17+D17-C17</f>
        <v>0</v>
      </c>
      <c r="N17" s="226" t="n">
        <f aca="false" ca="false" dt2D="false" dtr="false" t="normal">C17-D17-E17</f>
        <v>0</v>
      </c>
    </row>
    <row ht="30" outlineLevel="0" r="18">
      <c r="A18" s="212" t="n">
        <v>620</v>
      </c>
      <c r="B18" s="212" t="s">
        <v>48</v>
      </c>
      <c r="C18" s="265" t="n">
        <v>1961958975.58</v>
      </c>
      <c r="D18" s="265" t="n">
        <v>1487121028.6</v>
      </c>
      <c r="E18" s="265" t="n">
        <f aca="false" ca="false" dt2D="false" dtr="false" t="normal">C18-D18</f>
        <v>474837946.98</v>
      </c>
      <c r="F18" s="266" t="n">
        <f aca="false" ca="false" dt2D="false" dtr="false" t="normal">ROUND(D18/3, 2)</f>
        <v>495707009.53</v>
      </c>
      <c r="G18" s="267" t="n">
        <f aca="false" ca="false" dt2D="false" dtr="false" t="normal">ROUND((E18-F18)/F18*100, 2)</f>
        <v>-4.21</v>
      </c>
      <c r="H18" s="215" t="n">
        <v>5</v>
      </c>
      <c r="I18" s="186" t="e">
        <f aca="false" ca="false" dt2D="false" dtr="false" t="normal">LOOKUP(G18, {0, 1, 10, 24.99, 25, 30, 39.99, 40, 50, 59.99, 60, 70, 79.99, 80, 90, 99.99, 100, 140, 750}, {"5+", "5", "5-", "4+", "4", "4-", "3+", "3", "3-", "2+", "2", "2-", "1+", "1", "1-", "0", "0-"})</f>
        <v>#N/A</v>
      </c>
      <c r="J18" s="268" t="n">
        <f aca="false" ca="false" dt2D="false" dtr="false" t="normal">E18-F18</f>
        <v>-20869062.549999952</v>
      </c>
      <c r="K18" s="226" t="n">
        <f aca="false" ca="false" dt2D="false" dtr="false" t="normal">C18-J18</f>
        <v>1982828038.1299999</v>
      </c>
      <c r="L18" s="226" t="n">
        <f aca="false" ca="false" dt2D="false" dtr="false" t="normal">E18+D18-C18</f>
        <v>0</v>
      </c>
      <c r="N18" s="226" t="n">
        <f aca="false" ca="false" dt2D="false" dtr="false" t="normal">C18-D18-E18</f>
        <v>0</v>
      </c>
    </row>
    <row ht="30" outlineLevel="0" r="19">
      <c r="A19" s="212" t="n">
        <v>621</v>
      </c>
      <c r="B19" s="212" t="s">
        <v>54</v>
      </c>
      <c r="C19" s="265" t="n">
        <v>2489659692.73</v>
      </c>
      <c r="D19" s="265" t="n">
        <v>1252099786.52</v>
      </c>
      <c r="E19" s="265" t="n">
        <f aca="false" ca="false" dt2D="false" dtr="false" t="normal">C19-D19</f>
        <v>1237559906.21</v>
      </c>
      <c r="F19" s="266" t="n">
        <f aca="false" ca="false" dt2D="false" dtr="false" t="normal">ROUND(D19/3, 2)</f>
        <v>417366595.51</v>
      </c>
      <c r="G19" s="267" t="n">
        <f aca="false" ca="false" dt2D="false" dtr="false" t="normal">ROUND((E19-F19)/F19*100, 2)</f>
        <v>196.52</v>
      </c>
      <c r="H19" s="219" t="n">
        <v>0</v>
      </c>
      <c r="I19" s="186" t="str">
        <f aca="false" ca="false" dt2D="false" dtr="false" t="normal">LOOKUP(G19, {0, 1, 10, 24.99, 25, 30, 39.99, 40, 50, 59.99, 60, 70, 79.99, 80, 90, 99.99, 100, 773, 779, 800}, {"5+", "5", "5-", "4+", "4", "4-", "3+", "3", "3-", "2+", "2", "2-", "1+", "1", "1-", "0+", "0", "0-"})</f>
        <v>0</v>
      </c>
      <c r="J19" s="268" t="n">
        <f aca="false" ca="false" dt2D="false" dtr="false" t="normal">E19-F19</f>
        <v>820193310.7</v>
      </c>
      <c r="K19" s="226" t="n">
        <f aca="false" ca="false" dt2D="false" dtr="false" t="normal">C19-J19</f>
        <v>1669466382.03</v>
      </c>
      <c r="L19" s="226" t="n">
        <f aca="false" ca="false" dt2D="false" dtr="false" t="normal">E19+D19-C19</f>
        <v>0</v>
      </c>
      <c r="N19" s="226" t="n">
        <f aca="false" ca="false" dt2D="false" dtr="false" t="normal">C19-D19-E19</f>
        <v>0</v>
      </c>
    </row>
    <row ht="45" outlineLevel="0" r="20">
      <c r="A20" s="258" t="n">
        <v>624</v>
      </c>
      <c r="B20" s="212" t="s">
        <v>40</v>
      </c>
      <c r="C20" s="265" t="n">
        <v>129450332.72</v>
      </c>
      <c r="D20" s="265" t="n">
        <v>82383432.37</v>
      </c>
      <c r="E20" s="265" t="n">
        <f aca="false" ca="false" dt2D="false" dtr="false" t="normal">C20-D20</f>
        <v>47066900.349999994</v>
      </c>
      <c r="F20" s="266" t="n">
        <f aca="false" ca="false" dt2D="false" dtr="false" t="normal">ROUND(D20/3, 2)</f>
        <v>27461144.12</v>
      </c>
      <c r="G20" s="267" t="n">
        <f aca="false" ca="false" dt2D="false" dtr="false" t="normal">ROUND((E20-F20)/F20*100, 2)</f>
        <v>71.39</v>
      </c>
      <c r="H20" s="215" t="n">
        <f aca="false" ca="false" dt2D="false" dtr="false" t="normal">VALUE(LEFT(I20, 1))</f>
        <v>2</v>
      </c>
      <c r="I20" s="186" t="str">
        <f aca="false" ca="false" dt2D="false" dtr="false" t="normal">LOOKUP(G20, {0, 1, 10, 24.99, 25, 30, 39.99, 40, 50, 59.99, 60, 70, 79.99, 80, 90, 99.99, 100}, {"5+", "5", "5-", "4+", "4", "4-", "3+", "3", "3-", "2+", "2", "2-", "1+", "1", "1-", "0"})</f>
        <v>2-</v>
      </c>
      <c r="J20" s="268" t="n">
        <f aca="false" ca="false" dt2D="false" dtr="false" t="normal">E20-F20</f>
        <v>19605756.229999993</v>
      </c>
      <c r="K20" s="226" t="n">
        <f aca="false" ca="false" dt2D="false" dtr="false" t="normal">C20-J20</f>
        <v>109844576.49000001</v>
      </c>
      <c r="L20" s="226" t="n">
        <f aca="false" ca="false" dt2D="false" dtr="false" t="normal">E20+D20-C20</f>
        <v>0</v>
      </c>
      <c r="N20" s="226" t="n">
        <f aca="false" ca="false" dt2D="false" dtr="false" t="normal">C20-D20-E20</f>
        <v>0</v>
      </c>
    </row>
    <row ht="30" outlineLevel="0" r="21">
      <c r="A21" s="212" t="n">
        <v>643</v>
      </c>
      <c r="B21" s="212" t="s">
        <v>170</v>
      </c>
      <c r="C21" s="265" t="n">
        <v>25334489.19</v>
      </c>
      <c r="D21" s="265" t="n">
        <v>15905798.63</v>
      </c>
      <c r="E21" s="265" t="n">
        <f aca="false" ca="false" dt2D="false" dtr="false" t="normal">C21-D21</f>
        <v>9428690.56</v>
      </c>
      <c r="F21" s="266" t="n">
        <f aca="false" ca="false" dt2D="false" dtr="false" t="normal">ROUND(D21/3, 2)</f>
        <v>5301932.88</v>
      </c>
      <c r="G21" s="267" t="n">
        <f aca="false" ca="false" dt2D="false" dtr="false" t="normal">ROUND((E21-F21)/F21*100, 2)</f>
        <v>77.83</v>
      </c>
      <c r="H21" s="215" t="n">
        <f aca="false" ca="false" dt2D="false" dtr="false" t="normal">VALUE(LEFT(I21, 1))</f>
        <v>2</v>
      </c>
      <c r="I21" s="186" t="str">
        <f aca="false" ca="false" dt2D="false" dtr="false" t="normal">LOOKUP(G21, {0, 1, 10, 24.99, 25, 30, 39.99, 40, 50, 59.99, 60, 70, 79.99, 80, 90, 99.99, 100}, {"5+", "5", "5-", "4+", "4", "4-", "3+", "3", "3-", "2+", "2", "2-", "1+", "1", "1-", "0"})</f>
        <v>2-</v>
      </c>
      <c r="J21" s="268" t="n">
        <f aca="false" ca="false" dt2D="false" dtr="false" t="normal">E21-F21</f>
        <v>4126757.6800000006</v>
      </c>
      <c r="K21" s="226" t="n"/>
      <c r="L21" s="226" t="n"/>
      <c r="N21" s="226" t="n"/>
    </row>
    <row outlineLevel="0" r="22">
      <c r="A22" s="271" t="n"/>
      <c r="B22" s="271" t="n"/>
      <c r="C22" s="272" t="n"/>
      <c r="D22" s="272" t="n"/>
      <c r="E22" s="272" t="n"/>
      <c r="F22" s="272" t="n"/>
      <c r="G22" s="45" t="n"/>
      <c r="H22" s="45" t="n"/>
      <c r="J22" s="273" t="n"/>
      <c r="K22" s="226" t="n"/>
      <c r="L22" s="226" t="n"/>
    </row>
    <row outlineLevel="0" r="23">
      <c r="A23" s="57" t="n"/>
      <c r="B23" s="57" t="s">
        <v>23</v>
      </c>
      <c r="C23" s="274" t="n"/>
      <c r="D23" s="274" t="n"/>
      <c r="E23" s="208" t="n"/>
      <c r="F23" s="208" t="n"/>
      <c r="G23" s="3" t="n">
        <f aca="false" ca="true" dt2D="false" dtr="false" t="normal">SUBTOTAL(9, G7:G20)</f>
        <v>614.72</v>
      </c>
      <c r="J23" s="273" t="n"/>
      <c r="K23" s="226" t="n"/>
    </row>
    <row outlineLevel="0" r="24">
      <c r="A24" s="57" t="n"/>
      <c r="B24" s="60" t="s">
        <v>24</v>
      </c>
      <c r="C24" s="274" t="n"/>
      <c r="D24" s="274" t="n"/>
      <c r="E24" s="208" t="n"/>
      <c r="F24" s="208" t="n"/>
      <c r="G24" s="158" t="n">
        <f aca="false" ca="false" dt2D="false" dtr="false" t="normal">ROUND(G23/16, 2)</f>
        <v>38.42</v>
      </c>
      <c r="J24" s="273" t="n"/>
      <c r="K24" s="226" t="n"/>
    </row>
    <row outlineLevel="0" r="25">
      <c r="A25" s="57" t="n"/>
      <c r="B25" s="57" t="n"/>
      <c r="C25" s="274" t="n"/>
      <c r="D25" s="274" t="n"/>
      <c r="E25" s="208" t="n"/>
      <c r="F25" s="208" t="n"/>
      <c r="J25" s="273" t="n"/>
      <c r="K25" s="226" t="n"/>
    </row>
    <row outlineLevel="0" r="26">
      <c r="C26" s="4" t="n">
        <f aca="false" ca="false" dt2D="false" dtr="false" t="normal">SUM(C7:C19)</f>
        <v>17487381407.629997</v>
      </c>
      <c r="D26" s="4" t="n">
        <f aca="false" ca="false" dt2D="false" dtr="false" t="normal">SUM(D7:D19)</f>
        <v>11570954146.95</v>
      </c>
      <c r="E26" s="4" t="n">
        <f aca="false" ca="false" dt2D="false" dtr="false" t="normal">SUM(E7:E19)</f>
        <v>5916427260.68</v>
      </c>
      <c r="F26" s="4" t="n">
        <f aca="false" ca="false" dt2D="false" dtr="false" t="normal">SUM(F7:F19)</f>
        <v>3856984715.6399994</v>
      </c>
    </row>
    <row outlineLevel="0" r="27">
      <c r="C27" s="275" t="n">
        <v>10455089576.98</v>
      </c>
      <c r="D27" s="275" t="n">
        <v>6516825521.26</v>
      </c>
      <c r="E27" s="275" t="n">
        <v>3938264055.72</v>
      </c>
      <c r="F27" s="276" t="n">
        <f aca="false" ca="false" dt2D="false" dtr="false" t="normal">ROUND(D27/3, 2)</f>
        <v>2172275173.75</v>
      </c>
    </row>
  </sheetData>
  <autoFilter ref="A4:L21"/>
  <mergeCells count="2">
    <mergeCell ref="A1:H1"/>
    <mergeCell ref="A2:H2"/>
  </mergeCells>
  <pageMargins bottom="0.433070868253708" footer="0.31496062874794" header="0.236220464110374" left="0.275590538978577" right="0.196850389242172" top="0.433070868253708"/>
  <pageSetup fitToHeight="1" fitToWidth="1" orientation="landscape" paperHeight="297mm" paperSize="9" paperWidth="210mm" scale="60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3.5703138387917"/>
    <col customWidth="true" max="5" min="5" outlineLevel="0" style="3" width="21.5703121471299"/>
    <col customWidth="true" max="6" min="6" outlineLevel="0" style="3" width="13.1406246325922"/>
    <col bestFit="true" customWidth="true" max="7" min="7" outlineLevel="0" style="3" width="9.14062530925693"/>
    <col customWidth="true" max="8" min="8" outlineLevel="0" style="3" width="44.8554686436103"/>
    <col bestFit="true" customWidth="true" max="16384" min="9" outlineLevel="0" style="3" width="9.14062530925693"/>
  </cols>
  <sheetData>
    <row customFormat="true" customHeight="true" ht="20.25" outlineLevel="0" r="1" s="197">
      <c r="A1" s="198" t="s">
        <v>108</v>
      </c>
      <c r="B1" s="198" t="s"/>
      <c r="C1" s="198" t="s"/>
      <c r="D1" s="198" t="s"/>
      <c r="E1" s="198" t="s"/>
      <c r="F1" s="198" t="s"/>
      <c r="G1" s="227" t="n"/>
      <c r="H1" s="227" t="n"/>
    </row>
    <row customHeight="true" ht="43.9000015258789" outlineLevel="0" r="2">
      <c r="A2" s="199" t="s">
        <v>171</v>
      </c>
      <c r="B2" s="199" t="s"/>
      <c r="C2" s="199" t="s"/>
      <c r="D2" s="199" t="s"/>
      <c r="E2" s="199" t="s"/>
      <c r="F2" s="199" t="s"/>
    </row>
    <row outlineLevel="0" r="3">
      <c r="D3" s="52" t="n"/>
    </row>
    <row outlineLevel="0" r="4">
      <c r="F4" s="200" t="s">
        <v>135</v>
      </c>
      <c r="H4" s="3" t="n">
        <v>10</v>
      </c>
    </row>
    <row customHeight="true" ht="141" outlineLevel="0" r="5">
      <c r="A5" s="53" t="s">
        <v>35</v>
      </c>
      <c r="B5" s="53" t="s">
        <v>2</v>
      </c>
      <c r="C5" s="53" t="s">
        <v>172</v>
      </c>
      <c r="D5" s="53" t="s">
        <v>173</v>
      </c>
      <c r="E5" s="53" t="s">
        <v>174</v>
      </c>
      <c r="F5" s="53" t="s">
        <v>140</v>
      </c>
      <c r="H5" s="52" t="s">
        <v>175</v>
      </c>
    </row>
    <row outlineLevel="0" r="6">
      <c r="A6" s="103" t="n">
        <v>600</v>
      </c>
      <c r="B6" s="277" t="s">
        <v>51</v>
      </c>
      <c r="C6" s="278" t="n"/>
      <c r="D6" s="278" t="n"/>
      <c r="E6" s="278" t="n"/>
      <c r="F6" s="221" t="n"/>
    </row>
    <row outlineLevel="0" r="7">
      <c r="A7" s="236" t="n">
        <v>601</v>
      </c>
      <c r="B7" s="236" t="s">
        <v>13</v>
      </c>
      <c r="C7" s="214" t="n">
        <v>64433290.57</v>
      </c>
      <c r="D7" s="214" t="n">
        <v>64433290.57</v>
      </c>
      <c r="E7" s="219" t="n">
        <f aca="false" ca="false" dt2D="false" dtr="false" t="normal">ROUND(C7/D7*100, 2)</f>
        <v>100</v>
      </c>
      <c r="F7" s="219" t="n">
        <f aca="false" ca="false" dt2D="false" dtr="false" t="normal">VALUE(LEFT(G7, 1))</f>
        <v>5</v>
      </c>
      <c r="G7" s="186" t="str">
        <f aca="false" ca="false" dt2D="false" dtr="false" t="normal">LOOKUP(E7, {0, 49.99, 50, 60, 69.99, 70, 75, 79.99, 80, 85, 89.99, 90, 95, 99.99, 100, 103, 107}, {"0", "1-", "1", "1+", "2-", "2", "2+", "3-", "3", "3+", "4-", "4", "4+", "5-", "5", "5+"})</f>
        <v>5</v>
      </c>
    </row>
    <row ht="30" outlineLevel="0" r="8">
      <c r="A8" s="212" t="n">
        <v>602</v>
      </c>
      <c r="B8" s="212" t="s">
        <v>53</v>
      </c>
      <c r="C8" s="214" t="n">
        <v>102658522.05</v>
      </c>
      <c r="D8" s="214" t="n">
        <v>118383669.53</v>
      </c>
      <c r="E8" s="219" t="n">
        <f aca="false" ca="false" dt2D="false" dtr="false" t="normal">ROUND(C8/D8*100, 2)</f>
        <v>86.72</v>
      </c>
      <c r="F8" s="219" t="n">
        <f aca="false" ca="false" dt2D="false" dtr="false" t="normal">VALUE(LEFT(G8, 1))</f>
        <v>3</v>
      </c>
      <c r="G8" s="186" t="str">
        <f aca="false" ca="false" dt2D="false" dtr="false" t="normal">LOOKUP(E8, {0, 49.99, 50, 60, 69.99, 70, 75, 79.99, 80, 85, 89.99, 90, 95, 99.99, 100, 103, 107}, {"0", "1-", "1", "1+", "2-", "2", "2+", "3-", "3", "3+", "4-", "4", "4+", "5-", "5", "5+"})</f>
        <v>3+</v>
      </c>
    </row>
    <row ht="30" outlineLevel="0" r="9">
      <c r="A9" s="212" t="n">
        <v>604</v>
      </c>
      <c r="B9" s="212" t="s">
        <v>49</v>
      </c>
      <c r="C9" s="214" t="n">
        <v>100354716.4</v>
      </c>
      <c r="D9" s="214" t="n">
        <v>105368830</v>
      </c>
      <c r="E9" s="219" t="n">
        <f aca="false" ca="false" dt2D="false" dtr="false" t="normal">ROUND(C9/D9*100, 2)</f>
        <v>95.24</v>
      </c>
      <c r="F9" s="219" t="n">
        <f aca="false" ca="false" dt2D="false" dtr="false" t="normal">VALUE(LEFT(G9, 1))</f>
        <v>4</v>
      </c>
      <c r="G9" s="186" t="str">
        <f aca="false" ca="false" dt2D="false" dtr="false" t="normal">LOOKUP(E9, {0, 49.99, 50, 60, 69.99, 70, 75, 79.99, 80, 85, 89.99, 90, 95, 99.99, 100, 103, 107}, {"0", "1-", "1", "1+", "2-", "2", "2+", "3-", "3", "3+", "4-", "4", "4+", "5-", "5", "5+"})</f>
        <v>4+</v>
      </c>
    </row>
    <row ht="45" outlineLevel="0" r="10">
      <c r="A10" s="212" t="n">
        <v>605</v>
      </c>
      <c r="B10" s="212" t="s">
        <v>45</v>
      </c>
      <c r="C10" s="214" t="n">
        <v>127164976.89</v>
      </c>
      <c r="D10" s="214" t="n">
        <v>127169176.83</v>
      </c>
      <c r="E10" s="219" t="n">
        <f aca="false" ca="false" dt2D="false" dtr="false" t="normal">ROUND(C10/D10*100, 2)</f>
        <v>100</v>
      </c>
      <c r="F10" s="219" t="n">
        <f aca="false" ca="false" dt2D="false" dtr="false" t="normal">VALUE(LEFT(G10, 1))</f>
        <v>5</v>
      </c>
      <c r="G10" s="186" t="str">
        <f aca="false" ca="false" dt2D="false" dtr="false" t="normal">LOOKUP(E10, {0, 49.99, 50, 60, 69.99, 70, 75, 79.99, 80, 85, 89.99, 90, 95, 99.99, 100, 103, 107}, {"0", "1-", "1", "1+", "2-", "2", "2+", "3-", "3", "3+", "4-", "4", "4+", "5-", "5", "5+"})</f>
        <v>5</v>
      </c>
    </row>
    <row ht="30" outlineLevel="0" r="11">
      <c r="A11" s="212" t="n">
        <v>606</v>
      </c>
      <c r="B11" s="212" t="s">
        <v>46</v>
      </c>
      <c r="C11" s="214" t="n">
        <v>6185504563.88</v>
      </c>
      <c r="D11" s="214" t="n">
        <v>6209122516.43</v>
      </c>
      <c r="E11" s="219" t="n">
        <f aca="false" ca="false" dt2D="false" dtr="false" t="normal">ROUND(C11/D11*100, 2)</f>
        <v>99.62</v>
      </c>
      <c r="F11" s="219" t="n">
        <f aca="false" ca="false" dt2D="false" dtr="false" t="normal">VALUE(LEFT(G11, 1))</f>
        <v>4</v>
      </c>
      <c r="G11" s="186" t="str">
        <f aca="false" ca="false" dt2D="false" dtr="false" t="normal">LOOKUP(E11, {0, 49.99, 50, 60, 69.99, 70, 75, 79.99, 80, 85, 89.99, 90, 95, 99.99, 100, 103, 107}, {"0", "1-", "1", "1+", "2-", "2", "2+", "3-", "3", "3+", "4-", "4", "4+", "5-", "5", "5+"})</f>
        <v>4+</v>
      </c>
    </row>
    <row ht="30" outlineLevel="0" r="12">
      <c r="A12" s="212" t="n">
        <v>607</v>
      </c>
      <c r="B12" s="212" t="s">
        <v>50</v>
      </c>
      <c r="C12" s="214" t="n">
        <v>748146020.1</v>
      </c>
      <c r="D12" s="214" t="n">
        <v>749652329.66</v>
      </c>
      <c r="E12" s="219" t="n">
        <f aca="false" ca="false" dt2D="false" dtr="false" t="normal">ROUND(C12/D12*100, 2)</f>
        <v>99.8</v>
      </c>
      <c r="F12" s="219" t="n">
        <f aca="false" ca="false" dt2D="false" dtr="false" t="normal">VALUE(LEFT(G12, 1))</f>
        <v>4</v>
      </c>
      <c r="G12" s="186" t="str">
        <f aca="false" ca="false" dt2D="false" dtr="false" t="normal">LOOKUP(E12, {0, 49.99, 50, 60, 69.99, 70, 75, 79.99, 80, 85, 89.99, 90, 95, 99.99, 100, 103, 107}, {"0", "1-", "1", "1+", "2-", "2", "2+", "3-", "3", "3+", "4-", "4", "4+", "5-", "5", "5+"})</f>
        <v>4+</v>
      </c>
    </row>
    <row ht="45" outlineLevel="0" r="13">
      <c r="A13" s="212" t="n">
        <v>609</v>
      </c>
      <c r="B13" s="212" t="s">
        <v>37</v>
      </c>
      <c r="C13" s="214" t="n">
        <v>3933100477.75</v>
      </c>
      <c r="D13" s="214" t="n">
        <v>3936712453.9</v>
      </c>
      <c r="E13" s="219" t="n">
        <f aca="false" ca="false" dt2D="false" dtr="false" t="normal">ROUND(C13/D13*100, 2)</f>
        <v>99.91</v>
      </c>
      <c r="F13" s="219" t="n">
        <f aca="false" ca="false" dt2D="false" dtr="false" t="normal">VALUE(LEFT(G13, 1))</f>
        <v>4</v>
      </c>
      <c r="G13" s="186" t="str">
        <f aca="false" ca="false" dt2D="false" dtr="false" t="normal">LOOKUP(E13, {0, 49.99, 50, 60, 69.99, 70, 75, 79.99, 80, 85, 89.99, 90, 95, 99.99, 100, 103, 107}, {"0", "1-", "1", "1+", "2-", "2", "2+", "3-", "3", "3+", "4-", "4", "4+", "5-", "5", "5+"})</f>
        <v>4+</v>
      </c>
    </row>
    <row ht="30" outlineLevel="0" r="14">
      <c r="A14" s="212" t="n">
        <v>611</v>
      </c>
      <c r="B14" s="212" t="s">
        <v>47</v>
      </c>
      <c r="C14" s="214" t="n">
        <v>249326525.33</v>
      </c>
      <c r="D14" s="214" t="n">
        <v>252898085.96</v>
      </c>
      <c r="E14" s="219" t="n">
        <f aca="false" ca="false" dt2D="false" dtr="false" t="normal">ROUND(C14/D14*100, 2)</f>
        <v>98.59</v>
      </c>
      <c r="F14" s="219" t="n">
        <f aca="false" ca="false" dt2D="false" dtr="false" t="normal">VALUE(LEFT(G14, 1))</f>
        <v>4</v>
      </c>
      <c r="G14" s="186" t="str">
        <f aca="false" ca="false" dt2D="false" dtr="false" t="normal">LOOKUP(E14, {0, 49.99, 50, 60, 69.99, 70, 75, 79.99, 80, 85, 89.99, 90, 95, 99.99, 100, 103, 107}, {"0", "1-", "1", "1+", "2-", "2", "2+", "3-", "3", "3+", "4-", "4", "4+", "5-", "5", "5+"})</f>
        <v>4+</v>
      </c>
    </row>
    <row ht="30" outlineLevel="0" r="15">
      <c r="A15" s="212" t="n">
        <v>617</v>
      </c>
      <c r="B15" s="212" t="s">
        <v>42</v>
      </c>
      <c r="C15" s="214" t="n">
        <v>170255725.33</v>
      </c>
      <c r="D15" s="214" t="n">
        <v>172365548.08</v>
      </c>
      <c r="E15" s="219" t="n">
        <f aca="false" ca="false" dt2D="false" dtr="false" t="normal">ROUND(C15/D15*100, 2)</f>
        <v>98.78</v>
      </c>
      <c r="F15" s="219" t="n">
        <f aca="false" ca="false" dt2D="false" dtr="false" t="normal">VALUE(LEFT(G15, 1))</f>
        <v>4</v>
      </c>
      <c r="G15" s="186" t="str">
        <f aca="false" ca="false" dt2D="false" dtr="false" t="normal">LOOKUP(E15, {0, 49.99, 50, 60, 69.99, 70, 75, 79.99, 80, 85, 89.99, 90, 95, 99.99, 100, 103, 107}, {"0", "1-", "1", "1+", "2-", "2", "2+", "3-", "3", "3+", "4-", "4", "4+", "5-", "5", "5+"})</f>
        <v>4+</v>
      </c>
    </row>
    <row ht="30" outlineLevel="0" r="16">
      <c r="A16" s="212" t="n">
        <v>618</v>
      </c>
      <c r="B16" s="212" t="s">
        <v>38</v>
      </c>
      <c r="C16" s="214" t="n">
        <v>177998590.59</v>
      </c>
      <c r="D16" s="214" t="n">
        <v>178092009.04</v>
      </c>
      <c r="E16" s="219" t="n">
        <f aca="false" ca="false" dt2D="false" dtr="false" t="normal">ROUND(C16/D16*100, 2)</f>
        <v>99.95</v>
      </c>
      <c r="F16" s="219" t="n">
        <f aca="false" ca="false" dt2D="false" dtr="false" t="normal">VALUE(LEFT(G16, 1))</f>
        <v>4</v>
      </c>
      <c r="G16" s="186" t="str">
        <f aca="false" ca="false" dt2D="false" dtr="false" t="normal">LOOKUP(E16, {0, 49.99, 50, 60, 69.99, 70, 75, 79.99, 80, 85, 89.99, 90, 95, 99.99, 100, 103, 107}, {"0", "1-", "1", "1+", "2-", "2", "2+", "3-", "3", "3+", "4-", "4", "4+", "5-", "5", "5+"})</f>
        <v>4+</v>
      </c>
    </row>
    <row ht="30" outlineLevel="0" r="17">
      <c r="A17" s="212" t="n">
        <v>619</v>
      </c>
      <c r="B17" s="212" t="s">
        <v>44</v>
      </c>
      <c r="C17" s="214" t="n">
        <v>288419664.23</v>
      </c>
      <c r="D17" s="214" t="n">
        <v>307603424.48</v>
      </c>
      <c r="E17" s="219" t="n">
        <f aca="false" ca="false" dt2D="false" dtr="false" t="normal">ROUND(C17/D17*100, 2)</f>
        <v>93.76</v>
      </c>
      <c r="F17" s="219" t="n">
        <f aca="false" ca="false" dt2D="false" dtr="false" t="normal">VALUE(LEFT(G17, 1))</f>
        <v>4</v>
      </c>
      <c r="G17" s="186" t="str">
        <f aca="false" ca="false" dt2D="false" dtr="false" t="normal">LOOKUP(E17, {0, 49.99, 50, 60, 69.99, 70, 75, 79.99, 80, 85, 89.99, 90, 95, 99.99, 100, 103, 107}, {"0", "1-", "1", "1+", "2-", "2", "2+", "3-", "3", "3+", "4-", "4", "4+", "5-", "5", "5+"})</f>
        <v>4</v>
      </c>
    </row>
    <row ht="30" outlineLevel="0" r="18">
      <c r="A18" s="212" t="n">
        <v>620</v>
      </c>
      <c r="B18" s="212" t="s">
        <v>48</v>
      </c>
      <c r="C18" s="214" t="n">
        <v>1891267002.2</v>
      </c>
      <c r="D18" s="214" t="n">
        <v>1982914220.17</v>
      </c>
      <c r="E18" s="219" t="n">
        <f aca="false" ca="false" dt2D="false" dtr="false" t="normal">ROUND(C18/D18*100, 2)</f>
        <v>95.38</v>
      </c>
      <c r="F18" s="219" t="n">
        <f aca="false" ca="false" dt2D="false" dtr="false" t="normal">VALUE(LEFT(G18, 1))</f>
        <v>4</v>
      </c>
      <c r="G18" s="186" t="str">
        <f aca="false" ca="false" dt2D="false" dtr="false" t="normal">LOOKUP(E18, {0, 49.99, 50, 60, 69.99, 70, 75, 79.99, 80, 85, 89.99, 90, 95, 99.99, 100, 103, 107}, {"0", "1-", "1", "1+", "2-", "2", "2+", "3-", "3", "3+", "4-", "4", "4+", "5-", "5", "5+"})</f>
        <v>4+</v>
      </c>
    </row>
    <row ht="30" outlineLevel="0" r="19">
      <c r="A19" s="212" t="n">
        <v>621</v>
      </c>
      <c r="B19" s="212" t="s">
        <v>54</v>
      </c>
      <c r="C19" s="214" t="n">
        <v>2173956298.54</v>
      </c>
      <c r="D19" s="214" t="n">
        <v>2763569284.95</v>
      </c>
      <c r="E19" s="219" t="n">
        <f aca="false" ca="false" dt2D="false" dtr="false" t="normal">ROUND(C19/D19*100, 2)</f>
        <v>78.66</v>
      </c>
      <c r="F19" s="219" t="n">
        <f aca="false" ca="false" dt2D="false" dtr="false" t="normal">VALUE(LEFT(G19, 1))</f>
        <v>2</v>
      </c>
      <c r="G19" s="186" t="str">
        <f aca="false" ca="false" dt2D="false" dtr="false" t="normal">LOOKUP(E19, {0, 49.99, 50, 60, 69.99, 70, 75, 79.99, 80, 85, 89.99, 90, 95, 99.99, 100, 103, 107}, {"0", "1-", "1", "1+", "2-", "2", "2+", "3-", "3", "3+", "4-", "4", "4+", "5-", "5", "5+"})</f>
        <v>2+</v>
      </c>
    </row>
    <row ht="45" outlineLevel="0" r="20">
      <c r="A20" s="212" t="n">
        <v>624</v>
      </c>
      <c r="B20" s="212" t="s">
        <v>40</v>
      </c>
      <c r="C20" s="214" t="n">
        <v>107894826.17</v>
      </c>
      <c r="D20" s="214" t="n">
        <v>108953843.08</v>
      </c>
      <c r="E20" s="219" t="n">
        <f aca="false" ca="false" dt2D="false" dtr="false" t="normal">ROUND(C20/D20*100, 2)</f>
        <v>99.03</v>
      </c>
      <c r="F20" s="219" t="n">
        <f aca="false" ca="false" dt2D="false" dtr="false" t="normal">VALUE(LEFT(G20, 1))</f>
        <v>4</v>
      </c>
      <c r="G20" s="186" t="str">
        <f aca="false" ca="false" dt2D="false" dtr="false" t="normal">LOOKUP(E20, {0, 49.99, 50, 60, 69.99, 70, 75, 79.99, 80, 85, 89.99, 90, 95, 99.99, 100, 103, 107}, {"0", "1-", "1", "1+", "2-", "2", "2+", "3-", "3", "3+", "4-", "4", "4+", "5-", "5", "5+"})</f>
        <v>4+</v>
      </c>
    </row>
    <row ht="30" outlineLevel="0" r="21">
      <c r="A21" s="103" t="n">
        <v>643</v>
      </c>
      <c r="B21" s="277" t="s">
        <v>170</v>
      </c>
      <c r="C21" s="278" t="n"/>
      <c r="D21" s="278" t="n"/>
      <c r="E21" s="278" t="n"/>
      <c r="F21" s="278" t="n"/>
      <c r="G21" s="186" t="n"/>
    </row>
    <row customHeight="true" ht="12.75" outlineLevel="0" r="22">
      <c r="A22" s="238" t="n"/>
      <c r="B22" s="238" t="n"/>
      <c r="C22" s="239" t="n"/>
      <c r="D22" s="239" t="n"/>
      <c r="E22" s="240" t="n"/>
      <c r="F22" s="240" t="n"/>
    </row>
    <row outlineLevel="0" r="23">
      <c r="A23" s="238" t="n"/>
      <c r="B23" s="279" t="s">
        <v>23</v>
      </c>
      <c r="C23" s="280" t="n"/>
      <c r="D23" s="280" t="n"/>
      <c r="E23" s="281" t="n">
        <f aca="false" ca="true" dt2D="false" dtr="false" t="normal">SUBTOTAL(9, E7:E20)</f>
        <v>1345.44</v>
      </c>
      <c r="F23" s="240" t="n"/>
    </row>
    <row outlineLevel="0" r="24">
      <c r="A24" s="238" t="n"/>
      <c r="B24" s="282" t="s">
        <v>24</v>
      </c>
      <c r="C24" s="280" t="n"/>
      <c r="D24" s="280" t="n"/>
      <c r="E24" s="283" t="n">
        <f aca="false" ca="false" dt2D="false" dtr="false" t="normal">ROUND(E23/16, 2)</f>
        <v>84.09</v>
      </c>
      <c r="F24" s="240" t="n"/>
    </row>
    <row outlineLevel="0" r="25">
      <c r="C25" s="4" t="n">
        <f aca="false" ca="false" dt2D="false" dtr="false" t="normal">SUM(C7:C20)</f>
        <v>16320481200.03</v>
      </c>
      <c r="D25" s="4" t="n">
        <f aca="false" ca="false" dt2D="false" dtr="false" t="normal">SUM(D7:D20)</f>
        <v>17077238682.679998</v>
      </c>
    </row>
    <row outlineLevel="0" r="26">
      <c r="C26" s="4" t="n">
        <v>9666084472.49999</v>
      </c>
      <c r="D26" s="4" t="n">
        <v>9942990074.7</v>
      </c>
    </row>
    <row outlineLevel="0" r="27">
      <c r="C27" s="4" t="n">
        <f aca="false" ca="false" dt2D="false" dtr="false" t="normal">C25-C26</f>
        <v>6654396727.530008</v>
      </c>
      <c r="D27" s="4" t="n">
        <f aca="false" ca="false" dt2D="false" dtr="false" t="normal">D25-D26</f>
        <v>7134248607.980001</v>
      </c>
    </row>
  </sheetData>
  <autoFilter ref="E5:E20"/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6"/>
</worksheet>
</file>

<file path=xl/worksheets/sheet1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R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2.1406254784231"/>
    <col customWidth="true" max="5" min="5" outlineLevel="0" style="3" width="21.5703121471299"/>
    <col customWidth="true" max="6" min="6" outlineLevel="0" style="3" width="13.1406246325922"/>
    <col bestFit="true" customWidth="true" max="7" min="7" outlineLevel="0" style="3" width="9.14062530925693"/>
    <col customWidth="true" max="8" min="8" outlineLevel="0" style="3" width="39.4257809599064"/>
    <col bestFit="true" customWidth="true" max="16384" min="9" outlineLevel="0" style="3" width="9.14062530925693"/>
  </cols>
  <sheetData>
    <row customFormat="true" customHeight="true" ht="20.25" outlineLevel="0" r="1" s="197">
      <c r="A1" s="198" t="s">
        <v>108</v>
      </c>
      <c r="B1" s="198" t="s"/>
      <c r="C1" s="198" t="s"/>
      <c r="D1" s="198" t="s"/>
      <c r="E1" s="198" t="s"/>
      <c r="F1" s="198" t="s"/>
      <c r="G1" s="227" t="n"/>
      <c r="H1" s="227" t="n"/>
    </row>
    <row ht="19.5" outlineLevel="0" r="2">
      <c r="A2" s="199" t="s">
        <v>176</v>
      </c>
      <c r="B2" s="199" t="s"/>
      <c r="C2" s="199" t="s"/>
      <c r="D2" s="199" t="s"/>
      <c r="E2" s="199" t="s"/>
      <c r="F2" s="199" t="s"/>
    </row>
    <row outlineLevel="0" r="3">
      <c r="D3" s="52" t="n"/>
    </row>
    <row outlineLevel="0" r="4">
      <c r="F4" s="200" t="s">
        <v>135</v>
      </c>
      <c r="H4" s="3" t="n">
        <v>15</v>
      </c>
    </row>
    <row ht="120" outlineLevel="0" r="5">
      <c r="A5" s="53" t="s">
        <v>35</v>
      </c>
      <c r="B5" s="53" t="s">
        <v>2</v>
      </c>
      <c r="C5" s="53" t="s">
        <v>177</v>
      </c>
      <c r="D5" s="53" t="s">
        <v>178</v>
      </c>
      <c r="E5" s="53" t="s">
        <v>179</v>
      </c>
      <c r="F5" s="53" t="s">
        <v>140</v>
      </c>
      <c r="H5" s="52" t="s">
        <v>180</v>
      </c>
    </row>
    <row outlineLevel="0" r="6">
      <c r="A6" s="212" t="n">
        <v>600</v>
      </c>
      <c r="B6" s="212" t="s">
        <v>51</v>
      </c>
      <c r="C6" s="284" t="n"/>
      <c r="D6" s="284" t="n"/>
      <c r="E6" s="284" t="n"/>
      <c r="F6" s="284" t="n"/>
      <c r="H6" s="52" t="n"/>
    </row>
    <row outlineLevel="0" r="7">
      <c r="A7" s="212" t="n">
        <v>601</v>
      </c>
      <c r="B7" s="212" t="s">
        <v>13</v>
      </c>
      <c r="C7" s="285" t="n">
        <v>20</v>
      </c>
      <c r="D7" s="285" t="n">
        <v>25</v>
      </c>
      <c r="E7" s="219" t="n">
        <f aca="false" ca="false" dt2D="false" dtr="false" t="normal">ROUND(C7/D7*100, 2)</f>
        <v>80</v>
      </c>
      <c r="F7" s="219" t="n">
        <v>4</v>
      </c>
      <c r="H7" s="286" t="n">
        <v>43</v>
      </c>
      <c r="I7" s="286" t="n">
        <v>46</v>
      </c>
      <c r="J7" s="287" t="n">
        <f aca="false" ca="false" dt2D="false" dtr="false" t="normal">ROUND(H7/I7*100, 2)</f>
        <v>93.48</v>
      </c>
      <c r="K7" s="55" t="n">
        <v>5</v>
      </c>
      <c r="M7" s="286" t="n">
        <f aca="false" ca="false" dt2D="false" dtr="false" t="normal">10+4</f>
        <v>14</v>
      </c>
      <c r="N7" s="286" t="n">
        <f aca="false" ca="false" dt2D="false" dtr="false" t="normal">14+5</f>
        <v>19</v>
      </c>
      <c r="P7" s="3" t="n">
        <v>601</v>
      </c>
      <c r="Q7" s="3" t="n">
        <v>52</v>
      </c>
      <c r="R7" s="3" t="n">
        <v>48</v>
      </c>
    </row>
    <row ht="30" outlineLevel="0" r="8">
      <c r="A8" s="212" t="n">
        <v>602</v>
      </c>
      <c r="B8" s="212" t="s">
        <v>53</v>
      </c>
      <c r="C8" s="285" t="n">
        <v>16</v>
      </c>
      <c r="D8" s="285" t="n">
        <v>20</v>
      </c>
      <c r="E8" s="219" t="n">
        <f aca="false" ca="false" dt2D="false" dtr="false" t="normal">ROUND(C8/D8*100, 2)</f>
        <v>80</v>
      </c>
      <c r="F8" s="215" t="n">
        <v>4</v>
      </c>
      <c r="H8" s="286" t="n">
        <v>13</v>
      </c>
      <c r="I8" s="286" t="n">
        <v>15</v>
      </c>
      <c r="J8" s="288" t="n">
        <f aca="false" ca="false" dt2D="false" dtr="false" t="normal">ROUND(H8/I8*100, 2)</f>
        <v>86.67</v>
      </c>
      <c r="K8" s="55" t="n">
        <v>4</v>
      </c>
      <c r="M8" s="286" t="n">
        <f aca="false" ca="false" dt2D="false" dtr="false" t="normal">3+4</f>
        <v>7</v>
      </c>
      <c r="N8" s="286" t="n">
        <f aca="false" ca="false" dt2D="false" dtr="false" t="normal">3+9</f>
        <v>12</v>
      </c>
      <c r="P8" s="3" t="n">
        <v>602</v>
      </c>
      <c r="Q8" s="3" t="n">
        <v>16</v>
      </c>
      <c r="R8" s="3" t="n">
        <v>11</v>
      </c>
    </row>
    <row ht="30" outlineLevel="0" r="9">
      <c r="A9" s="212" t="n">
        <v>604</v>
      </c>
      <c r="B9" s="212" t="s">
        <v>49</v>
      </c>
      <c r="C9" s="285" t="n">
        <v>22</v>
      </c>
      <c r="D9" s="285" t="n">
        <v>22</v>
      </c>
      <c r="E9" s="219" t="n">
        <f aca="false" ca="false" dt2D="false" dtr="false" t="normal">ROUND(C9/D9*100, 2)</f>
        <v>100</v>
      </c>
      <c r="F9" s="219" t="n">
        <v>5</v>
      </c>
      <c r="H9" s="286" t="n">
        <v>24</v>
      </c>
      <c r="I9" s="286" t="n">
        <v>26</v>
      </c>
      <c r="J9" s="287" t="n">
        <f aca="false" ca="false" dt2D="false" dtr="false" t="normal">ROUND(H9/I9*100, 2)</f>
        <v>92.31</v>
      </c>
      <c r="K9" s="55" t="n">
        <v>5</v>
      </c>
      <c r="M9" s="286" t="n">
        <v>24</v>
      </c>
      <c r="N9" s="286" t="n">
        <v>28</v>
      </c>
      <c r="P9" s="3" t="n">
        <v>604</v>
      </c>
      <c r="Q9" s="3" t="n">
        <v>22</v>
      </c>
      <c r="R9" s="3" t="n">
        <v>21</v>
      </c>
    </row>
    <row customHeight="true" ht="36" outlineLevel="0" r="10">
      <c r="A10" s="212" t="n">
        <v>605</v>
      </c>
      <c r="B10" s="212" t="s">
        <v>45</v>
      </c>
      <c r="C10" s="285" t="n">
        <v>43</v>
      </c>
      <c r="D10" s="285" t="n">
        <v>45</v>
      </c>
      <c r="E10" s="219" t="n">
        <f aca="false" ca="false" dt2D="false" dtr="false" t="normal">ROUND(C10/D10*100, 2)</f>
        <v>95.56</v>
      </c>
      <c r="F10" s="219" t="n">
        <v>5</v>
      </c>
      <c r="H10" s="286" t="n">
        <v>5</v>
      </c>
      <c r="I10" s="286" t="n">
        <v>5</v>
      </c>
      <c r="J10" s="287" t="n">
        <f aca="false" ca="false" dt2D="false" dtr="false" t="normal">ROUND(H10/I10*100, 2)</f>
        <v>100</v>
      </c>
      <c r="K10" s="55" t="n">
        <v>5</v>
      </c>
      <c r="M10" s="286" t="n">
        <v>1</v>
      </c>
      <c r="N10" s="286" t="n">
        <v>1</v>
      </c>
      <c r="P10" s="3" t="n">
        <v>605</v>
      </c>
      <c r="Q10" s="3" t="n">
        <v>3</v>
      </c>
      <c r="R10" s="3" t="n">
        <v>3</v>
      </c>
    </row>
    <row ht="30" outlineLevel="0" r="11">
      <c r="A11" s="212" t="n">
        <v>606</v>
      </c>
      <c r="B11" s="212" t="s">
        <v>46</v>
      </c>
      <c r="C11" s="285" t="n">
        <v>40</v>
      </c>
      <c r="D11" s="285" t="n">
        <v>41</v>
      </c>
      <c r="E11" s="219" t="n">
        <f aca="false" ca="false" dt2D="false" dtr="false" t="normal">ROUND(C11/D11*100, 2)</f>
        <v>97.56</v>
      </c>
      <c r="F11" s="219" t="n">
        <v>5</v>
      </c>
      <c r="H11" s="286" t="n">
        <v>23</v>
      </c>
      <c r="I11" s="286" t="n">
        <v>23</v>
      </c>
      <c r="J11" s="287" t="n">
        <f aca="false" ca="false" dt2D="false" dtr="false" t="normal">ROUND(H11/I11*100, 2)</f>
        <v>100</v>
      </c>
      <c r="K11" s="55" t="n">
        <v>5</v>
      </c>
      <c r="M11" s="286" t="n">
        <f aca="false" ca="false" dt2D="false" dtr="false" t="normal">19+4</f>
        <v>23</v>
      </c>
      <c r="N11" s="286" t="n">
        <f aca="false" ca="false" dt2D="false" dtr="false" t="normal">19+4</f>
        <v>23</v>
      </c>
      <c r="P11" s="3" t="n">
        <v>606</v>
      </c>
      <c r="Q11" s="3" t="n">
        <v>31</v>
      </c>
      <c r="R11" s="3" t="n">
        <v>29</v>
      </c>
    </row>
    <row ht="30" outlineLevel="0" r="12">
      <c r="A12" s="212" t="n">
        <v>607</v>
      </c>
      <c r="B12" s="212" t="s">
        <v>50</v>
      </c>
      <c r="C12" s="285" t="n">
        <v>35</v>
      </c>
      <c r="D12" s="285" t="n">
        <v>35</v>
      </c>
      <c r="E12" s="219" t="n">
        <f aca="false" ca="false" dt2D="false" dtr="false" t="normal">ROUND(C12/D12*100, 2)</f>
        <v>100</v>
      </c>
      <c r="F12" s="219" t="n">
        <v>5</v>
      </c>
      <c r="H12" s="286" t="n">
        <v>47</v>
      </c>
      <c r="I12" s="286" t="n">
        <v>47</v>
      </c>
      <c r="J12" s="287" t="n">
        <f aca="false" ca="false" dt2D="false" dtr="false" t="normal">ROUND(H12/I12*100, 2)</f>
        <v>100</v>
      </c>
      <c r="K12" s="55" t="n">
        <v>5</v>
      </c>
      <c r="M12" s="286" t="n">
        <f aca="false" ca="false" dt2D="false" dtr="false" t="normal">3+13</f>
        <v>16</v>
      </c>
      <c r="N12" s="286" t="n">
        <f aca="false" ca="false" dt2D="false" dtr="false" t="normal">3+13</f>
        <v>16</v>
      </c>
      <c r="P12" s="3" t="n">
        <v>607</v>
      </c>
      <c r="Q12" s="3" t="n">
        <v>29</v>
      </c>
      <c r="R12" s="3" t="n">
        <v>28</v>
      </c>
    </row>
    <row ht="45" outlineLevel="0" r="13">
      <c r="A13" s="212" t="n">
        <v>609</v>
      </c>
      <c r="B13" s="212" t="s">
        <v>37</v>
      </c>
      <c r="C13" s="285" t="n">
        <v>15</v>
      </c>
      <c r="D13" s="285" t="n">
        <v>15</v>
      </c>
      <c r="E13" s="215" t="n">
        <v>100</v>
      </c>
      <c r="F13" s="215" t="n">
        <v>5</v>
      </c>
      <c r="H13" s="286" t="n">
        <v>9</v>
      </c>
      <c r="I13" s="286" t="n">
        <v>9</v>
      </c>
      <c r="J13" s="287" t="n">
        <f aca="false" ca="false" dt2D="false" dtr="false" t="normal">ROUND(H13/I13*100, 2)</f>
        <v>100</v>
      </c>
      <c r="K13" s="55" t="n">
        <v>5</v>
      </c>
      <c r="M13" s="286" t="n">
        <v>8</v>
      </c>
      <c r="N13" s="286" t="n">
        <v>8</v>
      </c>
      <c r="P13" s="3" t="n">
        <v>609</v>
      </c>
      <c r="Q13" s="3" t="n">
        <v>19</v>
      </c>
      <c r="R13" s="3" t="n">
        <v>17</v>
      </c>
    </row>
    <row ht="30" outlineLevel="0" r="14">
      <c r="A14" s="212" t="n">
        <v>611</v>
      </c>
      <c r="B14" s="212" t="s">
        <v>47</v>
      </c>
      <c r="C14" s="285" t="n">
        <v>21</v>
      </c>
      <c r="D14" s="285" t="n">
        <v>22</v>
      </c>
      <c r="E14" s="219" t="n">
        <f aca="false" ca="false" dt2D="false" dtr="false" t="normal">ROUND(C14/D14*100, 2)</f>
        <v>95.45</v>
      </c>
      <c r="F14" s="219" t="n">
        <v>5</v>
      </c>
      <c r="H14" s="286" t="n">
        <v>30</v>
      </c>
      <c r="I14" s="286" t="n">
        <v>30</v>
      </c>
      <c r="J14" s="287" t="n">
        <f aca="false" ca="false" dt2D="false" dtr="false" t="normal">ROUND(H14/I14*100, 2)</f>
        <v>100</v>
      </c>
      <c r="K14" s="55" t="n">
        <v>5</v>
      </c>
      <c r="M14" s="286" t="n">
        <v>18</v>
      </c>
      <c r="N14" s="286" t="n">
        <v>18</v>
      </c>
      <c r="P14" s="3" t="n">
        <v>611</v>
      </c>
      <c r="Q14" s="3" t="n">
        <v>17</v>
      </c>
      <c r="R14" s="3" t="n">
        <v>15</v>
      </c>
    </row>
    <row ht="30" outlineLevel="0" r="15">
      <c r="A15" s="212" t="n">
        <v>617</v>
      </c>
      <c r="B15" s="212" t="s">
        <v>42</v>
      </c>
      <c r="C15" s="285" t="n">
        <v>8</v>
      </c>
      <c r="D15" s="285" t="n">
        <v>8</v>
      </c>
      <c r="E15" s="219" t="n">
        <f aca="false" ca="false" dt2D="false" dtr="false" t="normal">ROUND(C15/D15*100, 2)</f>
        <v>100</v>
      </c>
      <c r="F15" s="219" t="n">
        <v>5</v>
      </c>
      <c r="H15" s="286" t="n">
        <v>3</v>
      </c>
      <c r="I15" s="286" t="n">
        <v>3</v>
      </c>
      <c r="J15" s="287" t="n">
        <f aca="false" ca="false" dt2D="false" dtr="false" t="normal">ROUND(H15/I15*100, 2)</f>
        <v>100</v>
      </c>
      <c r="K15" s="55" t="n">
        <v>5</v>
      </c>
      <c r="M15" s="286" t="n">
        <f aca="false" ca="false" dt2D="false" dtr="false" t="normal">3</f>
        <v>3</v>
      </c>
      <c r="N15" s="286" t="n">
        <f aca="false" ca="false" dt2D="false" dtr="false" t="normal">3</f>
        <v>3</v>
      </c>
      <c r="P15" s="3" t="n">
        <v>617</v>
      </c>
      <c r="Q15" s="3" t="n">
        <v>8</v>
      </c>
      <c r="R15" s="3" t="n">
        <v>7</v>
      </c>
    </row>
    <row ht="30" outlineLevel="0" r="16">
      <c r="A16" s="212" t="n">
        <v>618</v>
      </c>
      <c r="B16" s="212" t="s">
        <v>38</v>
      </c>
      <c r="C16" s="285" t="n">
        <v>11</v>
      </c>
      <c r="D16" s="285" t="n">
        <v>12</v>
      </c>
      <c r="E16" s="219" t="n">
        <f aca="false" ca="false" dt2D="false" dtr="false" t="normal">ROUND(C16/D16*100, 2)</f>
        <v>91.67</v>
      </c>
      <c r="F16" s="219" t="n">
        <v>5</v>
      </c>
      <c r="H16" s="286" t="n">
        <v>3</v>
      </c>
      <c r="I16" s="286" t="n">
        <v>3</v>
      </c>
      <c r="J16" s="287" t="n">
        <f aca="false" ca="false" dt2D="false" dtr="false" t="normal">ROUND(H16/I16*100, 2)</f>
        <v>100</v>
      </c>
      <c r="K16" s="55" t="n">
        <v>5</v>
      </c>
      <c r="M16" s="286" t="n">
        <f aca="false" ca="false" dt2D="false" dtr="false" t="normal">3</f>
        <v>3</v>
      </c>
      <c r="N16" s="286" t="n">
        <f aca="false" ca="false" dt2D="false" dtr="false" t="normal">3</f>
        <v>3</v>
      </c>
      <c r="P16" s="3" t="n">
        <v>618</v>
      </c>
      <c r="Q16" s="3" t="n">
        <v>8</v>
      </c>
      <c r="R16" s="3" t="n">
        <v>8</v>
      </c>
    </row>
    <row ht="30" outlineLevel="0" r="17">
      <c r="A17" s="212" t="n">
        <v>619</v>
      </c>
      <c r="B17" s="212" t="s">
        <v>44</v>
      </c>
      <c r="C17" s="285" t="n">
        <v>9</v>
      </c>
      <c r="D17" s="285" t="n">
        <v>10</v>
      </c>
      <c r="E17" s="219" t="n">
        <f aca="false" ca="false" dt2D="false" dtr="false" t="normal">ROUND(C17/D17*100, 2)</f>
        <v>90</v>
      </c>
      <c r="F17" s="219" t="n">
        <v>4</v>
      </c>
      <c r="H17" s="286" t="n">
        <v>2</v>
      </c>
      <c r="I17" s="286" t="n">
        <v>3</v>
      </c>
      <c r="J17" s="289" t="n">
        <f aca="false" ca="false" dt2D="false" dtr="false" t="normal">ROUND(H17/I17*100, 2)</f>
        <v>66.67</v>
      </c>
      <c r="K17" s="55" t="n">
        <v>3</v>
      </c>
      <c r="M17" s="286" t="n">
        <f aca="false" ca="false" dt2D="false" dtr="false" t="normal">3</f>
        <v>3</v>
      </c>
      <c r="N17" s="286" t="n">
        <f aca="false" ca="false" dt2D="false" dtr="false" t="normal">3</f>
        <v>3</v>
      </c>
      <c r="P17" s="3" t="n">
        <v>619</v>
      </c>
      <c r="Q17" s="3" t="n">
        <v>8</v>
      </c>
      <c r="R17" s="3" t="n">
        <v>7</v>
      </c>
    </row>
    <row ht="30" outlineLevel="0" r="18">
      <c r="A18" s="212" t="n">
        <v>620</v>
      </c>
      <c r="B18" s="212" t="s">
        <v>48</v>
      </c>
      <c r="C18" s="285" t="n">
        <v>31</v>
      </c>
      <c r="D18" s="285" t="n">
        <v>31</v>
      </c>
      <c r="E18" s="219" t="n">
        <f aca="false" ca="false" dt2D="false" dtr="false" t="normal">ROUND(C18/D18*100, 2)</f>
        <v>100</v>
      </c>
      <c r="F18" s="219" t="n">
        <v>5</v>
      </c>
      <c r="H18" s="286" t="n">
        <v>39</v>
      </c>
      <c r="I18" s="286" t="n">
        <v>42</v>
      </c>
      <c r="J18" s="287" t="n">
        <f aca="false" ca="false" dt2D="false" dtr="false" t="normal">ROUND(H18/I18*100, 2)</f>
        <v>92.86</v>
      </c>
      <c r="K18" s="55" t="n">
        <v>5</v>
      </c>
      <c r="M18" s="286" t="n">
        <f aca="false" ca="false" dt2D="false" dtr="false" t="normal">12+2</f>
        <v>14</v>
      </c>
      <c r="N18" s="286" t="n">
        <f aca="false" ca="false" dt2D="false" dtr="false" t="normal">14+2</f>
        <v>16</v>
      </c>
      <c r="P18" s="3" t="n">
        <v>620</v>
      </c>
      <c r="Q18" s="3" t="n">
        <v>43</v>
      </c>
      <c r="R18" s="3" t="n">
        <v>36</v>
      </c>
    </row>
    <row ht="30" outlineLevel="0" r="19">
      <c r="A19" s="212" t="n">
        <v>621</v>
      </c>
      <c r="B19" s="212" t="s">
        <v>54</v>
      </c>
      <c r="C19" s="285" t="n">
        <v>42</v>
      </c>
      <c r="D19" s="285" t="n">
        <v>42</v>
      </c>
      <c r="E19" s="219" t="n">
        <f aca="false" ca="false" dt2D="false" dtr="false" t="normal">ROUND(C19/D19*100, 2)</f>
        <v>100</v>
      </c>
      <c r="F19" s="219" t="n">
        <v>5</v>
      </c>
      <c r="H19" s="286" t="n">
        <v>10</v>
      </c>
      <c r="I19" s="286" t="n">
        <v>16</v>
      </c>
      <c r="J19" s="289" t="n">
        <f aca="false" ca="false" dt2D="false" dtr="false" t="normal">ROUND(H19/I19*100, 2)</f>
        <v>62.5</v>
      </c>
      <c r="K19" s="55" t="n">
        <v>3</v>
      </c>
      <c r="M19" s="286" t="n">
        <v>4</v>
      </c>
      <c r="N19" s="286" t="n">
        <v>4</v>
      </c>
      <c r="P19" s="3" t="n">
        <v>621</v>
      </c>
      <c r="Q19" s="3" t="n">
        <v>17</v>
      </c>
      <c r="R19" s="3" t="n">
        <v>15</v>
      </c>
    </row>
    <row ht="45" outlineLevel="0" r="20">
      <c r="A20" s="212" t="n">
        <v>624</v>
      </c>
      <c r="B20" s="212" t="s">
        <v>40</v>
      </c>
      <c r="C20" s="285" t="n">
        <v>4</v>
      </c>
      <c r="D20" s="285" t="n">
        <v>4</v>
      </c>
      <c r="E20" s="219" t="n">
        <f aca="false" ca="false" dt2D="false" dtr="false" t="normal">ROUND(C20/D20*100, 2)</f>
        <v>100</v>
      </c>
      <c r="F20" s="219" t="n">
        <v>5</v>
      </c>
      <c r="H20" s="290" t="n">
        <v>9</v>
      </c>
      <c r="I20" s="290" t="n">
        <v>9</v>
      </c>
      <c r="J20" s="287" t="n">
        <f aca="false" ca="false" dt2D="false" dtr="false" t="normal">ROUND(H20/I20*100, 2)</f>
        <v>100</v>
      </c>
      <c r="K20" s="55" t="n">
        <v>5</v>
      </c>
      <c r="M20" s="290" t="n">
        <f aca="false" ca="false" dt2D="false" dtr="false" t="normal">11</f>
        <v>11</v>
      </c>
      <c r="N20" s="290" t="n">
        <v>11</v>
      </c>
      <c r="P20" s="3" t="n">
        <v>624</v>
      </c>
      <c r="Q20" s="3" t="n">
        <v>16</v>
      </c>
      <c r="R20" s="3" t="n">
        <v>14</v>
      </c>
    </row>
    <row ht="30" outlineLevel="0" r="21">
      <c r="A21" s="212" t="n">
        <v>643</v>
      </c>
      <c r="B21" s="212" t="s">
        <v>170</v>
      </c>
      <c r="C21" s="285" t="n"/>
      <c r="D21" s="285" t="n"/>
      <c r="E21" s="219" t="n"/>
      <c r="F21" s="219" t="n"/>
      <c r="H21" s="274" t="n"/>
      <c r="I21" s="274" t="n"/>
      <c r="J21" s="291" t="n"/>
      <c r="M21" s="274" t="n"/>
      <c r="N21" s="274" t="n"/>
    </row>
    <row customHeight="true" ht="12.75" outlineLevel="0" r="22">
      <c r="A22" s="57" t="n"/>
      <c r="B22" s="57" t="n"/>
      <c r="C22" s="274" t="n"/>
      <c r="D22" s="274" t="n"/>
      <c r="H22" s="274" t="n"/>
      <c r="I22" s="274" t="n"/>
    </row>
    <row outlineLevel="0" r="23">
      <c r="A23" s="57" t="n"/>
      <c r="B23" s="57" t="s">
        <v>23</v>
      </c>
      <c r="C23" s="274" t="n"/>
      <c r="D23" s="274" t="n"/>
      <c r="E23" s="200" t="n">
        <f aca="false" ca="true" dt2D="false" dtr="false" t="normal">SUBTOTAL(9, E7:E20)</f>
        <v>1330.24</v>
      </c>
      <c r="H23" s="274" t="n"/>
      <c r="I23" s="274" t="n"/>
      <c r="J23" s="200" t="n">
        <f aca="false" ca="true" dt2D="false" dtr="false" t="normal">SUBTOTAL(9, J7:J20)</f>
        <v>1294.49</v>
      </c>
    </row>
    <row outlineLevel="0" r="24">
      <c r="A24" s="57" t="n"/>
      <c r="B24" s="60" t="s">
        <v>24</v>
      </c>
      <c r="C24" s="274" t="n"/>
      <c r="D24" s="274" t="n"/>
      <c r="E24" s="292" t="n">
        <f aca="false" ca="false" dt2D="false" dtr="false" t="normal">ROUND(E23/16, 2)</f>
        <v>83.14</v>
      </c>
      <c r="H24" s="274" t="n"/>
      <c r="I24" s="274" t="n"/>
      <c r="J24" s="292" t="n">
        <f aca="false" ca="false" dt2D="false" dtr="false" t="normal">ROUND(J23/14, 2)</f>
        <v>92.46000000000001</v>
      </c>
    </row>
    <row outlineLevel="0" r="25">
      <c r="C25" s="4" t="n">
        <f aca="false" ca="false" dt2D="false" dtr="false" t="normal">SUM(C7:C20)</f>
        <v>317</v>
      </c>
      <c r="D25" s="4" t="n">
        <f aca="false" ca="false" dt2D="false" dtr="false" t="normal">SUM(D7:D20)</f>
        <v>332</v>
      </c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6"/>
</worksheet>
</file>

<file path=xl/worksheets/sheet1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3.8554684744441"/>
    <col customWidth="true" max="4" min="4" outlineLevel="0" style="3" width="22.1406254784231"/>
    <col customWidth="true" max="5" min="5" outlineLevel="0" style="3" width="13.1406246325922"/>
    <col bestFit="true" customWidth="true" max="6" min="6" outlineLevel="0" style="3" width="9.14062530925693"/>
    <col customWidth="true" max="7" min="7" outlineLevel="0" style="3" width="31.7109369488883"/>
    <col bestFit="true" customWidth="true" max="16384" min="8" outlineLevel="0" style="3" width="9.14062530925693"/>
  </cols>
  <sheetData>
    <row customFormat="true" customHeight="true" ht="20.25" outlineLevel="0" r="1" s="197">
      <c r="A1" s="198" t="s">
        <v>108</v>
      </c>
      <c r="B1" s="198" t="s"/>
      <c r="C1" s="198" t="s"/>
      <c r="D1" s="198" t="s"/>
      <c r="E1" s="198" t="s"/>
      <c r="F1" s="227" t="n"/>
      <c r="G1" s="227" t="n"/>
    </row>
    <row customHeight="true" ht="44.25" outlineLevel="0" r="2">
      <c r="A2" s="199" t="s">
        <v>181</v>
      </c>
      <c r="B2" s="199" t="s"/>
      <c r="C2" s="199" t="s"/>
      <c r="D2" s="199" t="s"/>
      <c r="E2" s="199" t="s"/>
    </row>
    <row outlineLevel="0" r="3">
      <c r="D3" s="52" t="n"/>
    </row>
    <row outlineLevel="0" r="4">
      <c r="E4" s="200" t="n"/>
      <c r="G4" s="3" t="n">
        <v>10</v>
      </c>
    </row>
    <row ht="150" outlineLevel="0" r="5">
      <c r="A5" s="53" t="s">
        <v>35</v>
      </c>
      <c r="B5" s="53" t="s">
        <v>2</v>
      </c>
      <c r="C5" s="53" t="s">
        <v>182</v>
      </c>
      <c r="D5" s="53" t="s">
        <v>183</v>
      </c>
      <c r="E5" s="53" t="s">
        <v>140</v>
      </c>
      <c r="G5" s="52" t="s">
        <v>184</v>
      </c>
    </row>
    <row outlineLevel="0" r="6">
      <c r="A6" s="21" t="n">
        <v>600</v>
      </c>
      <c r="B6" s="21" t="s">
        <v>51</v>
      </c>
      <c r="C6" s="293" t="n"/>
      <c r="D6" s="293" t="n"/>
      <c r="E6" s="221" t="n"/>
      <c r="H6" s="293" t="n"/>
      <c r="I6" s="293" t="n"/>
    </row>
    <row outlineLevel="0" r="7">
      <c r="A7" s="236" t="n">
        <v>601</v>
      </c>
      <c r="B7" s="236" t="s">
        <v>13</v>
      </c>
      <c r="C7" s="294" t="s">
        <v>185</v>
      </c>
      <c r="D7" s="295" t="n"/>
      <c r="E7" s="215" t="n">
        <f aca="false" ca="false" dt2D="false" dtr="false" t="normal">IF(C7="да", 5, 0)</f>
        <v>5</v>
      </c>
      <c r="H7" s="296" t="s">
        <v>185</v>
      </c>
      <c r="I7" s="286" t="n"/>
    </row>
    <row ht="30" outlineLevel="0" r="8">
      <c r="A8" s="212" t="n">
        <v>602</v>
      </c>
      <c r="B8" s="212" t="s">
        <v>53</v>
      </c>
      <c r="C8" s="294" t="s">
        <v>185</v>
      </c>
      <c r="D8" s="295" t="n"/>
      <c r="E8" s="219" t="n">
        <f aca="false" ca="false" dt2D="false" dtr="false" t="normal">IF(C8="да", 5, 0)</f>
        <v>5</v>
      </c>
      <c r="H8" s="296" t="s">
        <v>185</v>
      </c>
      <c r="I8" s="286" t="n"/>
    </row>
    <row ht="30" outlineLevel="0" r="9">
      <c r="A9" s="21" t="n">
        <v>604</v>
      </c>
      <c r="B9" s="21" t="s">
        <v>49</v>
      </c>
      <c r="C9" s="297" t="n"/>
      <c r="D9" s="297" t="n"/>
      <c r="E9" s="298" t="n">
        <f aca="false" ca="false" dt2D="false" dtr="false" t="normal">IF(C9="да", 5, 0)</f>
        <v>0</v>
      </c>
      <c r="H9" s="297" t="n"/>
      <c r="I9" s="297" t="n"/>
    </row>
    <row ht="45" outlineLevel="0" r="10">
      <c r="A10" s="21" t="n">
        <v>605</v>
      </c>
      <c r="B10" s="21" t="s">
        <v>45</v>
      </c>
      <c r="C10" s="297" t="n"/>
      <c r="D10" s="297" t="n"/>
      <c r="E10" s="298" t="n">
        <f aca="false" ca="false" dt2D="false" dtr="false" t="normal">IF(C10="да", 5, 0)</f>
        <v>0</v>
      </c>
      <c r="H10" s="297" t="n"/>
      <c r="I10" s="297" t="n"/>
    </row>
    <row ht="30" outlineLevel="0" r="11">
      <c r="A11" s="212" t="n">
        <v>606</v>
      </c>
      <c r="B11" s="212" t="s">
        <v>46</v>
      </c>
      <c r="C11" s="294" t="s">
        <v>185</v>
      </c>
      <c r="D11" s="295" t="n"/>
      <c r="E11" s="215" t="n">
        <f aca="false" ca="false" dt2D="false" dtr="false" t="normal">IF(C11="да", 5, 0)</f>
        <v>5</v>
      </c>
      <c r="H11" s="296" t="s">
        <v>185</v>
      </c>
      <c r="I11" s="286" t="n"/>
    </row>
    <row ht="30" outlineLevel="0" r="12">
      <c r="A12" s="212" t="n">
        <v>607</v>
      </c>
      <c r="B12" s="212" t="s">
        <v>50</v>
      </c>
      <c r="C12" s="294" t="s">
        <v>185</v>
      </c>
      <c r="D12" s="295" t="n"/>
      <c r="E12" s="215" t="n">
        <f aca="false" ca="false" dt2D="false" dtr="false" t="normal">IF(C12="да", 5, 0)</f>
        <v>5</v>
      </c>
      <c r="H12" s="296" t="s">
        <v>186</v>
      </c>
      <c r="I12" s="286" t="n">
        <v>1</v>
      </c>
    </row>
    <row ht="45" outlineLevel="0" r="13">
      <c r="A13" s="21" t="n">
        <v>609</v>
      </c>
      <c r="B13" s="21" t="s">
        <v>37</v>
      </c>
      <c r="C13" s="297" t="n"/>
      <c r="D13" s="297" t="n"/>
      <c r="E13" s="298" t="n"/>
      <c r="H13" s="297" t="n"/>
      <c r="I13" s="297" t="n"/>
    </row>
    <row ht="30" outlineLevel="0" r="14">
      <c r="A14" s="21" t="n">
        <v>611</v>
      </c>
      <c r="B14" s="21" t="s">
        <v>47</v>
      </c>
      <c r="C14" s="297" t="n"/>
      <c r="D14" s="297" t="n"/>
      <c r="E14" s="298" t="n"/>
      <c r="H14" s="297" t="n"/>
      <c r="I14" s="297" t="n"/>
    </row>
    <row ht="30" outlineLevel="0" r="15">
      <c r="A15" s="212" t="n">
        <v>617</v>
      </c>
      <c r="B15" s="212" t="s">
        <v>42</v>
      </c>
      <c r="C15" s="294" t="s">
        <v>185</v>
      </c>
      <c r="D15" s="295" t="n"/>
      <c r="E15" s="215" t="n">
        <f aca="false" ca="false" dt2D="false" dtr="false" t="normal">IF(C15="да", 5, 0)</f>
        <v>5</v>
      </c>
      <c r="H15" s="296" t="s">
        <v>185</v>
      </c>
      <c r="I15" s="286" t="n"/>
    </row>
    <row ht="30" outlineLevel="0" r="16">
      <c r="A16" s="212" t="n">
        <v>618</v>
      </c>
      <c r="B16" s="212" t="s">
        <v>38</v>
      </c>
      <c r="C16" s="294" t="s">
        <v>185</v>
      </c>
      <c r="D16" s="295" t="n"/>
      <c r="E16" s="215" t="n">
        <f aca="false" ca="false" dt2D="false" dtr="false" t="normal">IF(C16="да", 5, 0)</f>
        <v>5</v>
      </c>
      <c r="H16" s="296" t="s">
        <v>185</v>
      </c>
      <c r="I16" s="286" t="n"/>
    </row>
    <row ht="30" outlineLevel="0" r="17">
      <c r="A17" s="212" t="n">
        <v>619</v>
      </c>
      <c r="B17" s="212" t="s">
        <v>44</v>
      </c>
      <c r="C17" s="294" t="s">
        <v>185</v>
      </c>
      <c r="D17" s="295" t="n"/>
      <c r="E17" s="215" t="n">
        <f aca="false" ca="false" dt2D="false" dtr="false" t="normal">IF(C17="да", 5, 0)</f>
        <v>5</v>
      </c>
      <c r="H17" s="296" t="s">
        <v>185</v>
      </c>
      <c r="I17" s="286" t="n"/>
    </row>
    <row ht="30" outlineLevel="0" r="18">
      <c r="A18" s="212" t="n">
        <v>620</v>
      </c>
      <c r="B18" s="212" t="s">
        <v>48</v>
      </c>
      <c r="C18" s="294" t="s">
        <v>185</v>
      </c>
      <c r="D18" s="299" t="n"/>
      <c r="E18" s="300" t="n">
        <f aca="false" ca="false" dt2D="false" dtr="false" t="normal">IF(C18="да", 5, 0)</f>
        <v>5</v>
      </c>
      <c r="H18" s="301" t="s">
        <v>186</v>
      </c>
      <c r="I18" s="302" t="n">
        <v>1</v>
      </c>
    </row>
    <row ht="30" outlineLevel="0" r="19">
      <c r="A19" s="212" t="n">
        <v>621</v>
      </c>
      <c r="B19" s="212" t="s">
        <v>54</v>
      </c>
      <c r="C19" s="294" t="s">
        <v>185</v>
      </c>
      <c r="D19" s="295" t="n"/>
      <c r="E19" s="215" t="n">
        <f aca="false" ca="false" dt2D="false" dtr="false" t="normal">IF(C19="да", 5, 0)</f>
        <v>5</v>
      </c>
      <c r="H19" s="296" t="s">
        <v>186</v>
      </c>
      <c r="I19" s="286" t="n">
        <v>1</v>
      </c>
    </row>
    <row ht="45" outlineLevel="0" r="20">
      <c r="A20" s="21" t="n">
        <v>624</v>
      </c>
      <c r="B20" s="21" t="s">
        <v>40</v>
      </c>
      <c r="C20" s="303" t="n"/>
      <c r="D20" s="303" t="n"/>
      <c r="E20" s="298" t="n"/>
      <c r="H20" s="303" t="n"/>
      <c r="I20" s="303" t="n"/>
    </row>
    <row ht="30" outlineLevel="0" r="21">
      <c r="A21" s="21" t="n">
        <v>643</v>
      </c>
      <c r="B21" s="21" t="s">
        <v>170</v>
      </c>
      <c r="C21" s="303" t="n"/>
      <c r="D21" s="303" t="n"/>
      <c r="E21" s="298" t="n"/>
      <c r="H21" s="303" t="n"/>
      <c r="I21" s="303" t="n"/>
    </row>
    <row customHeight="true" ht="12.75" outlineLevel="0" r="22">
      <c r="A22" s="57" t="n"/>
      <c r="B22" s="57" t="n"/>
      <c r="C22" s="274" t="n"/>
      <c r="D22" s="274" t="n"/>
    </row>
    <row outlineLevel="0" r="23">
      <c r="A23" s="57" t="n"/>
      <c r="B23" s="57" t="s">
        <v>23</v>
      </c>
      <c r="C23" s="274" t="n"/>
      <c r="D23" s="274" t="n"/>
    </row>
    <row outlineLevel="0" r="24">
      <c r="A24" s="57" t="n"/>
      <c r="B24" s="60" t="s">
        <v>24</v>
      </c>
      <c r="C24" s="274" t="n"/>
      <c r="D24" s="274" t="n"/>
    </row>
    <row outlineLevel="0" r="25">
      <c r="C25" s="4" t="n">
        <f aca="false" ca="false" dt2D="false" dtr="false" t="normal">SUM(C7:C20)</f>
        <v>0</v>
      </c>
      <c r="D25" s="4" t="n">
        <f aca="false" ca="false" dt2D="false" dtr="false" t="normal">SUM(D7:D20)</f>
        <v>0</v>
      </c>
    </row>
  </sheetData>
  <mergeCells count="2">
    <mergeCell ref="A1:E1"/>
    <mergeCell ref="A2:E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6"/>
</worksheet>
</file>

<file path=xl/worksheets/sheet1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3.5703138387917"/>
    <col customWidth="true" max="5" min="5" outlineLevel="0" style="3" width="19.570313162127"/>
    <col customWidth="true" max="6" min="6" outlineLevel="0" style="3" width="13.1406246325922"/>
    <col bestFit="true" customWidth="true" max="8" min="7" outlineLevel="0" style="3" width="9.14062530925693"/>
    <col bestFit="true" customWidth="true" max="9" min="9" outlineLevel="0" style="3" width="15.4257809599064"/>
    <col customWidth="true" max="10" min="10" outlineLevel="0" style="3" width="17.1406253092569"/>
    <col bestFit="true" customWidth="true" max="16384" min="11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</row>
    <row customHeight="true" ht="37.1500015258789" outlineLevel="0" r="2">
      <c r="A2" s="199" t="s">
        <v>187</v>
      </c>
      <c r="B2" s="199" t="s"/>
      <c r="C2" s="199" t="s"/>
      <c r="D2" s="199" t="s"/>
      <c r="E2" s="199" t="s"/>
      <c r="F2" s="199" t="s"/>
    </row>
    <row customHeight="true" ht="199.5" outlineLevel="0" r="5">
      <c r="A5" s="53" t="s">
        <v>35</v>
      </c>
      <c r="B5" s="53" t="s">
        <v>2</v>
      </c>
      <c r="C5" s="248" t="s">
        <v>188</v>
      </c>
      <c r="D5" s="248" t="s">
        <v>189</v>
      </c>
      <c r="E5" s="53" t="s">
        <v>190</v>
      </c>
      <c r="F5" s="53" t="s">
        <v>140</v>
      </c>
    </row>
    <row outlineLevel="0" r="6">
      <c r="A6" s="236" t="n">
        <v>601</v>
      </c>
      <c r="B6" s="255" t="s">
        <v>13</v>
      </c>
      <c r="C6" s="304" t="n">
        <v>0</v>
      </c>
      <c r="D6" s="305" t="n">
        <v>341417338.83</v>
      </c>
      <c r="E6" s="306" t="n">
        <f aca="false" ca="false" dt2D="false" dtr="false" t="normal">ROUND(C6/D6*100, 2)</f>
        <v>0</v>
      </c>
      <c r="F6" s="307" t="n">
        <v>5</v>
      </c>
      <c r="G6" s="1" t="n"/>
      <c r="H6" s="1" t="n"/>
      <c r="I6" s="308" t="n">
        <v>0</v>
      </c>
      <c r="J6" s="309" t="n">
        <v>300246357.68</v>
      </c>
      <c r="K6" s="310" t="n">
        <f aca="false" ca="false" dt2D="false" dtr="false" t="normal">ROUND(I6/J6*100, 2)</f>
        <v>0</v>
      </c>
      <c r="L6" s="311" t="n">
        <v>5</v>
      </c>
    </row>
    <row ht="30" outlineLevel="0" r="7">
      <c r="A7" s="212" t="n">
        <v>602</v>
      </c>
      <c r="B7" s="258" t="s">
        <v>53</v>
      </c>
      <c r="C7" s="304" t="n">
        <v>0</v>
      </c>
      <c r="D7" s="305" t="n">
        <v>155777362.96</v>
      </c>
      <c r="E7" s="306" t="n">
        <f aca="false" ca="false" dt2D="false" dtr="false" t="normal">ROUND(C7/D7*100, 2)</f>
        <v>0</v>
      </c>
      <c r="F7" s="307" t="n">
        <v>5</v>
      </c>
      <c r="G7" s="1" t="n"/>
      <c r="H7" s="1" t="n"/>
      <c r="I7" s="308" t="n">
        <v>2691045.76</v>
      </c>
      <c r="J7" s="309" t="n">
        <v>184104591.51</v>
      </c>
      <c r="K7" s="310" t="n">
        <f aca="false" ca="false" dt2D="false" dtr="false" t="normal">ROUND(I7/J7*100, 2)</f>
        <v>1.46</v>
      </c>
      <c r="L7" s="312" t="n">
        <v>3</v>
      </c>
    </row>
    <row ht="30" outlineLevel="0" r="8">
      <c r="A8" s="212" t="n">
        <v>604</v>
      </c>
      <c r="B8" s="258" t="s">
        <v>49</v>
      </c>
      <c r="C8" s="304" t="n">
        <v>0.25</v>
      </c>
      <c r="D8" s="305" t="n">
        <v>173217519.76</v>
      </c>
      <c r="E8" s="306" t="n">
        <f aca="false" ca="false" dt2D="false" dtr="false" t="normal">ROUND(C8/D8*100, 2)</f>
        <v>0</v>
      </c>
      <c r="F8" s="307" t="n">
        <v>5</v>
      </c>
      <c r="G8" s="1" t="n"/>
      <c r="H8" s="1" t="n"/>
      <c r="I8" s="308" t="n">
        <v>0</v>
      </c>
      <c r="J8" s="309" t="n">
        <v>141782311.86</v>
      </c>
      <c r="K8" s="310" t="n">
        <f aca="false" ca="false" dt2D="false" dtr="false" t="normal">ROUND(I8/J8*100, 2)</f>
        <v>0</v>
      </c>
      <c r="L8" s="311" t="n">
        <v>5</v>
      </c>
    </row>
    <row ht="45" outlineLevel="0" r="9">
      <c r="A9" s="212" t="n">
        <v>605</v>
      </c>
      <c r="B9" s="258" t="s">
        <v>45</v>
      </c>
      <c r="C9" s="304" t="n">
        <v>0</v>
      </c>
      <c r="D9" s="305" t="n">
        <v>40344538.27</v>
      </c>
      <c r="E9" s="306" t="n">
        <f aca="false" ca="false" dt2D="false" dtr="false" t="normal">ROUND(C9/D9*100, 2)</f>
        <v>0</v>
      </c>
      <c r="F9" s="307" t="n">
        <v>5</v>
      </c>
      <c r="G9" s="1" t="n"/>
      <c r="H9" s="1" t="n"/>
      <c r="I9" s="308" t="n">
        <v>99.44</v>
      </c>
      <c r="J9" s="309" t="n">
        <v>33158265.71</v>
      </c>
      <c r="K9" s="310" t="n">
        <f aca="false" ca="false" dt2D="false" dtr="false" t="normal">ROUND(I9/J9*100, 2)</f>
        <v>0</v>
      </c>
      <c r="L9" s="311" t="n">
        <v>5</v>
      </c>
    </row>
    <row ht="30" outlineLevel="0" r="10">
      <c r="A10" s="212" t="n">
        <v>606</v>
      </c>
      <c r="B10" s="258" t="s">
        <v>46</v>
      </c>
      <c r="C10" s="304" t="n">
        <v>476.01</v>
      </c>
      <c r="D10" s="305" t="n">
        <v>4615041935.09</v>
      </c>
      <c r="E10" s="306" t="n">
        <f aca="false" ca="false" dt2D="false" dtr="false" t="normal">ROUND(C10/D10*100, 2)</f>
        <v>0</v>
      </c>
      <c r="F10" s="307" t="n">
        <v>5</v>
      </c>
      <c r="G10" s="1" t="n"/>
      <c r="H10" s="1" t="n"/>
      <c r="I10" s="308" t="n">
        <v>0</v>
      </c>
      <c r="J10" s="309" t="n">
        <v>4000802293.29</v>
      </c>
      <c r="K10" s="310" t="n">
        <f aca="false" ca="false" dt2D="false" dtr="false" t="normal">ROUND(I10/J10*100, 2)</f>
        <v>0</v>
      </c>
      <c r="L10" s="311" t="n">
        <v>5</v>
      </c>
    </row>
    <row ht="30" outlineLevel="0" r="11">
      <c r="A11" s="212" t="n">
        <v>607</v>
      </c>
      <c r="B11" s="258" t="s">
        <v>50</v>
      </c>
      <c r="C11" s="313" t="n">
        <v>9644</v>
      </c>
      <c r="D11" s="305" t="n">
        <v>649855807.27</v>
      </c>
      <c r="E11" s="306" t="n">
        <f aca="false" ca="false" dt2D="false" dtr="false" t="normal">ROUND(C11/D11*100, 2)</f>
        <v>0</v>
      </c>
      <c r="F11" s="307" t="n">
        <v>5</v>
      </c>
      <c r="G11" s="1" t="n"/>
      <c r="H11" s="1" t="n"/>
      <c r="I11" s="308" t="n">
        <v>24150.64</v>
      </c>
      <c r="J11" s="309" t="n">
        <v>419927036.53</v>
      </c>
      <c r="K11" s="310" t="n">
        <f aca="false" ca="false" dt2D="false" dtr="false" t="normal">ROUND(I11/J11*100, 2)</f>
        <v>0.01</v>
      </c>
      <c r="L11" s="311" t="n">
        <v>5</v>
      </c>
    </row>
    <row ht="45" outlineLevel="0" r="12">
      <c r="A12" s="212" t="n">
        <v>609</v>
      </c>
      <c r="B12" s="258" t="s">
        <v>37</v>
      </c>
      <c r="C12" s="304" t="n">
        <v>0</v>
      </c>
      <c r="D12" s="305" t="n">
        <v>3674577936.43</v>
      </c>
      <c r="E12" s="306" t="n">
        <f aca="false" ca="false" dt2D="false" dtr="false" t="normal">ROUND(C12/D12*100, 2)</f>
        <v>0</v>
      </c>
      <c r="F12" s="307" t="n">
        <v>5</v>
      </c>
      <c r="G12" s="1" t="n"/>
      <c r="H12" s="1" t="n"/>
      <c r="I12" s="308" t="n">
        <v>0</v>
      </c>
      <c r="J12" s="309" t="n">
        <v>1970965182.18</v>
      </c>
      <c r="K12" s="310" t="n">
        <f aca="false" ca="false" dt2D="false" dtr="false" t="normal">ROUND(I12/J12*100, 2)</f>
        <v>0</v>
      </c>
      <c r="L12" s="311" t="n">
        <v>5</v>
      </c>
    </row>
    <row ht="30" outlineLevel="0" r="13">
      <c r="A13" s="212" t="n">
        <v>611</v>
      </c>
      <c r="B13" s="258" t="s">
        <v>47</v>
      </c>
      <c r="C13" s="304" t="n">
        <v>0</v>
      </c>
      <c r="D13" s="305" t="n">
        <v>221327330.26</v>
      </c>
      <c r="E13" s="306" t="n">
        <f aca="false" ca="false" dt2D="false" dtr="false" t="normal">ROUND(C13/D13*100, 2)</f>
        <v>0</v>
      </c>
      <c r="F13" s="307" t="n">
        <v>5</v>
      </c>
      <c r="G13" s="1" t="n"/>
      <c r="H13" s="1" t="n"/>
      <c r="I13" s="308" t="n">
        <v>0</v>
      </c>
      <c r="J13" s="309" t="n">
        <v>214815700.38</v>
      </c>
      <c r="K13" s="310" t="n">
        <f aca="false" ca="false" dt2D="false" dtr="false" t="normal">ROUND(I13/J13*100, 2)</f>
        <v>0</v>
      </c>
      <c r="L13" s="311" t="n">
        <v>5</v>
      </c>
    </row>
    <row ht="30" outlineLevel="0" r="14">
      <c r="A14" s="212" t="n">
        <v>617</v>
      </c>
      <c r="B14" s="258" t="s">
        <v>42</v>
      </c>
      <c r="C14" s="304" t="n">
        <v>0</v>
      </c>
      <c r="D14" s="305" t="n">
        <v>193091584.42</v>
      </c>
      <c r="E14" s="306" t="n">
        <f aca="false" ca="false" dt2D="false" dtr="false" t="normal">ROUND(C14/D14*100, 2)</f>
        <v>0</v>
      </c>
      <c r="F14" s="307" t="n">
        <v>5</v>
      </c>
      <c r="G14" s="1" t="n"/>
      <c r="H14" s="1" t="n"/>
      <c r="I14" s="308" t="n">
        <v>0</v>
      </c>
      <c r="J14" s="309" t="n">
        <v>152829436.07</v>
      </c>
      <c r="K14" s="310" t="n">
        <f aca="false" ca="false" dt2D="false" dtr="false" t="normal">ROUND(I14/J14*100, 2)</f>
        <v>0</v>
      </c>
      <c r="L14" s="311" t="n">
        <v>5</v>
      </c>
    </row>
    <row ht="30" outlineLevel="0" r="15">
      <c r="A15" s="212" t="n">
        <v>618</v>
      </c>
      <c r="B15" s="258" t="s">
        <v>38</v>
      </c>
      <c r="C15" s="304" t="n">
        <v>0</v>
      </c>
      <c r="D15" s="305" t="n">
        <v>186005577.49</v>
      </c>
      <c r="E15" s="306" t="n">
        <f aca="false" ca="false" dt2D="false" dtr="false" t="normal">ROUND(C15/D15*100, 2)</f>
        <v>0</v>
      </c>
      <c r="F15" s="307" t="n">
        <v>5</v>
      </c>
      <c r="G15" s="1" t="n"/>
      <c r="H15" s="1" t="n"/>
      <c r="I15" s="308" t="n">
        <v>0</v>
      </c>
      <c r="J15" s="309" t="n">
        <v>134893325.48</v>
      </c>
      <c r="K15" s="310" t="n">
        <f aca="false" ca="false" dt2D="false" dtr="false" t="normal">ROUND(I15/J15*100, 2)</f>
        <v>0</v>
      </c>
      <c r="L15" s="311" t="n">
        <v>5</v>
      </c>
    </row>
    <row ht="30" outlineLevel="0" r="16">
      <c r="A16" s="212" t="n">
        <v>619</v>
      </c>
      <c r="B16" s="258" t="s">
        <v>44</v>
      </c>
      <c r="C16" s="304" t="n">
        <v>0</v>
      </c>
      <c r="D16" s="305" t="n">
        <v>307515879.24</v>
      </c>
      <c r="E16" s="306" t="n">
        <f aca="false" ca="false" dt2D="false" dtr="false" t="normal">ROUND(C16/D16*100, 2)</f>
        <v>0</v>
      </c>
      <c r="F16" s="307" t="n">
        <v>5</v>
      </c>
      <c r="G16" s="1" t="n"/>
      <c r="H16" s="1" t="n"/>
      <c r="I16" s="308" t="n">
        <v>0</v>
      </c>
      <c r="J16" s="309" t="n">
        <v>239707938.73</v>
      </c>
      <c r="K16" s="310" t="n">
        <f aca="false" ca="false" dt2D="false" dtr="false" t="normal">ROUND(I16/J16*100, 2)</f>
        <v>0</v>
      </c>
      <c r="L16" s="311" t="n">
        <v>5</v>
      </c>
    </row>
    <row ht="30" outlineLevel="0" r="17">
      <c r="A17" s="212" t="n">
        <v>620</v>
      </c>
      <c r="B17" s="258" t="s">
        <v>48</v>
      </c>
      <c r="C17" s="313" t="n">
        <v>9237.25</v>
      </c>
      <c r="D17" s="305" t="n">
        <v>2232558219.28</v>
      </c>
      <c r="E17" s="306" t="n">
        <f aca="false" ca="false" dt2D="false" dtr="false" t="normal">ROUND(C17/D17*100, 2)</f>
        <v>0</v>
      </c>
      <c r="F17" s="307" t="n">
        <v>5</v>
      </c>
      <c r="G17" s="1" t="n"/>
      <c r="H17" s="1" t="n"/>
      <c r="I17" s="308" t="n">
        <v>0</v>
      </c>
      <c r="J17" s="309" t="n">
        <v>1452158676.81</v>
      </c>
      <c r="K17" s="310" t="n">
        <f aca="false" ca="false" dt2D="false" dtr="false" t="normal">ROUND(I17/J17*100, 2)</f>
        <v>0</v>
      </c>
      <c r="L17" s="311" t="n">
        <v>5</v>
      </c>
    </row>
    <row ht="30" outlineLevel="0" r="18">
      <c r="A18" s="212" t="n">
        <v>621</v>
      </c>
      <c r="B18" s="258" t="s">
        <v>54</v>
      </c>
      <c r="C18" s="313" t="n">
        <v>2053</v>
      </c>
      <c r="D18" s="305" t="n">
        <v>1152068014.75</v>
      </c>
      <c r="E18" s="306" t="n">
        <f aca="false" ca="false" dt2D="false" dtr="false" t="normal">ROUND(C18/D18*100, 2)</f>
        <v>0</v>
      </c>
      <c r="F18" s="307" t="n">
        <v>5</v>
      </c>
      <c r="G18" s="1" t="n"/>
      <c r="H18" s="1" t="n"/>
      <c r="I18" s="308" t="n">
        <v>0</v>
      </c>
      <c r="J18" s="309" t="n">
        <v>1130933013.65</v>
      </c>
      <c r="K18" s="310" t="n">
        <f aca="false" ca="false" dt2D="false" dtr="false" t="normal">ROUND(I18/J18*100, 2)</f>
        <v>0</v>
      </c>
      <c r="L18" s="311" t="n">
        <v>5</v>
      </c>
    </row>
    <row ht="45" outlineLevel="0" r="19">
      <c r="A19" s="212" t="n">
        <v>624</v>
      </c>
      <c r="B19" s="258" t="s">
        <v>40</v>
      </c>
      <c r="C19" s="313" t="n">
        <v>165386</v>
      </c>
      <c r="D19" s="305" t="n">
        <v>99369191.99</v>
      </c>
      <c r="E19" s="306" t="n">
        <f aca="false" ca="false" dt2D="false" dtr="false" t="normal">ROUND(C19/D19*100, 2)</f>
        <v>0.17</v>
      </c>
      <c r="F19" s="307" t="n">
        <v>5</v>
      </c>
      <c r="G19" s="1" t="n"/>
      <c r="H19" s="1" t="n"/>
      <c r="I19" s="308" t="n">
        <v>0</v>
      </c>
      <c r="J19" s="314" t="n">
        <v>78765447.1</v>
      </c>
      <c r="K19" s="310" t="n">
        <f aca="false" ca="false" dt2D="false" dtr="false" t="normal">ROUND(I19/J19*100, 2)</f>
        <v>0</v>
      </c>
      <c r="L19" s="311" t="n">
        <v>5</v>
      </c>
    </row>
    <row outlineLevel="0" r="20">
      <c r="A20" s="212" t="n">
        <v>600</v>
      </c>
      <c r="B20" s="258" t="s">
        <v>51</v>
      </c>
      <c r="C20" s="304" t="n">
        <v>0</v>
      </c>
      <c r="D20" s="305" t="n">
        <v>63497746.32</v>
      </c>
      <c r="E20" s="306" t="n">
        <f aca="false" ca="false" dt2D="false" dtr="false" t="normal">ROUND(C20/D20*100, 2)</f>
        <v>0</v>
      </c>
      <c r="F20" s="307" t="n">
        <v>5</v>
      </c>
      <c r="G20" s="1" t="n"/>
      <c r="H20" s="1" t="n"/>
      <c r="I20" s="208" t="n"/>
      <c r="J20" s="4" t="n"/>
    </row>
    <row ht="30" outlineLevel="0" r="21">
      <c r="A21" s="212" t="n">
        <v>643</v>
      </c>
      <c r="B21" s="258" t="s">
        <v>52</v>
      </c>
      <c r="C21" s="304" t="n">
        <v>0</v>
      </c>
      <c r="D21" s="305" t="n">
        <v>17025017.72</v>
      </c>
      <c r="E21" s="306" t="n">
        <f aca="false" ca="false" dt2D="false" dtr="false" t="normal">ROUND(C21/D21*100, 2)</f>
        <v>0</v>
      </c>
      <c r="F21" s="307" t="n">
        <v>5</v>
      </c>
      <c r="G21" s="1" t="n"/>
      <c r="H21" s="1" t="n"/>
      <c r="I21" s="208" t="n"/>
      <c r="J21" s="4" t="n"/>
    </row>
    <row outlineLevel="0" r="22">
      <c r="A22" s="279" t="n"/>
      <c r="B22" s="279" t="s">
        <v>23</v>
      </c>
      <c r="C22" s="315" t="n"/>
      <c r="D22" s="316" t="n"/>
      <c r="E22" s="281" t="n">
        <f aca="false" ca="true" dt2D="false" dtr="false" t="normal">SUBTOTAL(9, E6:E21)</f>
        <v>0.17</v>
      </c>
      <c r="F22" s="317" t="n"/>
      <c r="G22" s="1" t="n"/>
      <c r="H22" s="1" t="n"/>
      <c r="I22" s="208" t="n"/>
      <c r="J22" s="4" t="n"/>
    </row>
    <row outlineLevel="0" r="23">
      <c r="A23" s="279" t="n"/>
      <c r="B23" s="282" t="s">
        <v>24</v>
      </c>
      <c r="C23" s="315" t="n"/>
      <c r="D23" s="316" t="n"/>
      <c r="E23" s="283" t="n">
        <f aca="false" ca="false" dt2D="false" dtr="false" t="normal">ROUND(E22/16, 2)</f>
        <v>0.010000000000000002</v>
      </c>
      <c r="F23" s="317" t="n"/>
      <c r="G23" s="1" t="n"/>
      <c r="H23" s="1" t="n"/>
      <c r="I23" s="208" t="n"/>
      <c r="J23" s="4" t="n"/>
    </row>
    <row outlineLevel="0" r="24">
      <c r="A24" s="57" t="n"/>
      <c r="B24" s="57" t="n"/>
      <c r="C24" s="318" t="n">
        <f aca="false" ca="false" dt2D="false" dtr="false" t="normal">SUM(C6:C21)</f>
        <v>186796.51</v>
      </c>
      <c r="D24" s="319" t="n">
        <f aca="false" ca="false" dt2D="false" dtr="false" t="normal">SUM(D6:D21)</f>
        <v>14122691000.08</v>
      </c>
      <c r="E24" s="320" t="n"/>
      <c r="F24" s="1" t="n"/>
      <c r="G24" s="1" t="n"/>
      <c r="H24" s="1" t="n"/>
      <c r="I24" s="208" t="n"/>
      <c r="J24" s="4" t="n"/>
    </row>
    <row outlineLevel="0" r="25">
      <c r="A25" s="57" t="n"/>
      <c r="B25" s="57" t="n"/>
      <c r="C25" s="318" t="n">
        <v>0</v>
      </c>
      <c r="D25" s="321" t="n">
        <v>53903668.16</v>
      </c>
      <c r="E25" s="320" t="n"/>
      <c r="F25" s="1" t="n"/>
      <c r="G25" s="1" t="n"/>
      <c r="H25" s="1" t="n"/>
      <c r="I25" s="208" t="n"/>
      <c r="J25" s="4" t="n"/>
    </row>
    <row outlineLevel="0" r="26">
      <c r="C26" s="322" t="n">
        <v>0</v>
      </c>
      <c r="D26" s="323" t="n">
        <v>14435038.61</v>
      </c>
    </row>
    <row outlineLevel="0" r="27">
      <c r="C27" s="324" t="n">
        <f aca="false" ca="false" dt2D="false" dtr="false" t="normal">C24+C25+C26</f>
        <v>186796.51</v>
      </c>
      <c r="D27" s="325" t="n">
        <f aca="false" ca="false" dt2D="false" dtr="false" t="normal">D24+D25+D26</f>
        <v>14191029706.85</v>
      </c>
    </row>
    <row outlineLevel="0" r="28">
      <c r="D28" s="326" t="n"/>
    </row>
    <row outlineLevel="0" r="29">
      <c r="D29" s="327" t="n"/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7"/>
</worksheet>
</file>

<file path=xl/worksheets/sheet1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3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3.5703138387917"/>
    <col customWidth="true" max="5" min="5" outlineLevel="0" style="3" width="19.570313162127"/>
    <col customWidth="true" max="6" min="6" outlineLevel="0" style="3" width="13.1406246325922"/>
    <col bestFit="true" customWidth="true" max="7" min="7" outlineLevel="0" style="3" width="9.14062530925693"/>
    <col bestFit="true" customWidth="true" max="8" min="8" outlineLevel="0" style="3" width="15.7109369488883"/>
    <col bestFit="true" customWidth="true" max="16384" min="9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</row>
    <row customHeight="true" ht="37.9000015258789" outlineLevel="0" r="2">
      <c r="A2" s="199" t="s">
        <v>191</v>
      </c>
      <c r="B2" s="199" t="s"/>
      <c r="C2" s="199" t="s"/>
      <c r="D2" s="199" t="s"/>
      <c r="E2" s="199" t="s"/>
      <c r="F2" s="199" t="s"/>
    </row>
    <row ht="210" outlineLevel="0" r="5">
      <c r="A5" s="53" t="s">
        <v>35</v>
      </c>
      <c r="B5" s="53" t="s">
        <v>2</v>
      </c>
      <c r="C5" s="248" t="s">
        <v>192</v>
      </c>
      <c r="D5" s="248" t="s">
        <v>189</v>
      </c>
      <c r="E5" s="53" t="s">
        <v>190</v>
      </c>
      <c r="F5" s="53" t="s">
        <v>140</v>
      </c>
    </row>
    <row outlineLevel="0" r="6">
      <c r="A6" s="328" t="n">
        <v>601</v>
      </c>
      <c r="B6" s="329" t="s">
        <v>13</v>
      </c>
      <c r="C6" s="214" t="n">
        <v>4413414.17</v>
      </c>
      <c r="D6" s="305" t="n">
        <v>341417338.83</v>
      </c>
      <c r="E6" s="330" t="n">
        <f aca="false" ca="false" dt2D="false" dtr="false" t="normal">ROUND(100*C6/D6, 2)</f>
        <v>1.29</v>
      </c>
      <c r="F6" s="233" t="n">
        <v>5</v>
      </c>
      <c r="H6" s="286" t="n"/>
      <c r="I6" s="4" t="n"/>
      <c r="J6" s="154" t="n"/>
      <c r="K6" s="55" t="n"/>
      <c r="L6" s="59" t="n"/>
    </row>
    <row ht="30" outlineLevel="0" r="7">
      <c r="A7" s="103" t="n">
        <v>602</v>
      </c>
      <c r="B7" s="331" t="s">
        <v>53</v>
      </c>
      <c r="C7" s="214" t="n">
        <v>380422.12</v>
      </c>
      <c r="D7" s="305" t="n">
        <v>155777362.96</v>
      </c>
      <c r="E7" s="330" t="n">
        <f aca="false" ca="false" dt2D="false" dtr="false" t="normal">ROUND(100*C7/D7, 2)</f>
        <v>0.24</v>
      </c>
      <c r="F7" s="233" t="n">
        <v>1</v>
      </c>
      <c r="H7" s="286" t="n"/>
      <c r="I7" s="4" t="n"/>
      <c r="J7" s="154" t="n"/>
      <c r="K7" s="55" t="n"/>
      <c r="L7" s="59" t="n"/>
    </row>
    <row ht="30" outlineLevel="0" r="8">
      <c r="A8" s="103" t="n">
        <v>604</v>
      </c>
      <c r="B8" s="331" t="s">
        <v>49</v>
      </c>
      <c r="C8" s="214" t="n">
        <v>1084.45</v>
      </c>
      <c r="D8" s="305" t="n">
        <v>173217519.76</v>
      </c>
      <c r="E8" s="330" t="n">
        <f aca="false" ca="false" dt2D="false" dtr="false" t="normal">ROUND(100*C8/D8, 2)</f>
        <v>0</v>
      </c>
      <c r="F8" s="233" t="n">
        <v>5</v>
      </c>
      <c r="H8" s="286" t="n"/>
      <c r="I8" s="4" t="n"/>
      <c r="J8" s="154" t="n"/>
      <c r="K8" s="55" t="n"/>
      <c r="L8" s="59" t="n"/>
    </row>
    <row ht="45" outlineLevel="0" r="9">
      <c r="A9" s="103" t="n">
        <v>605</v>
      </c>
      <c r="B9" s="332" t="s">
        <v>45</v>
      </c>
      <c r="C9" s="214" t="n">
        <v>18006.6</v>
      </c>
      <c r="D9" s="305" t="n">
        <v>40344538.27</v>
      </c>
      <c r="E9" s="330" t="n">
        <f aca="false" ca="false" dt2D="false" dtr="false" t="normal">ROUND(100*C9/D9, 2)</f>
        <v>0.04</v>
      </c>
      <c r="F9" s="233" t="n">
        <v>5</v>
      </c>
      <c r="H9" s="286" t="n"/>
      <c r="I9" s="4" t="n"/>
      <c r="J9" s="154" t="n"/>
      <c r="K9" s="55" t="n"/>
      <c r="L9" s="59" t="n"/>
    </row>
    <row ht="30" outlineLevel="0" r="10">
      <c r="A10" s="103" t="n">
        <v>606</v>
      </c>
      <c r="B10" s="331" t="s">
        <v>46</v>
      </c>
      <c r="C10" s="219" t="n">
        <v>0</v>
      </c>
      <c r="D10" s="305" t="n">
        <v>4615041935.09</v>
      </c>
      <c r="E10" s="330" t="n">
        <f aca="false" ca="false" dt2D="false" dtr="false" t="normal">ROUND(100*C10/D10, 2)</f>
        <v>0</v>
      </c>
      <c r="F10" s="233" t="n">
        <v>5</v>
      </c>
      <c r="H10" s="286" t="n"/>
      <c r="I10" s="4" t="n"/>
      <c r="J10" s="154" t="n"/>
      <c r="K10" s="55" t="n"/>
      <c r="L10" s="59" t="n"/>
    </row>
    <row ht="30" outlineLevel="0" r="11">
      <c r="A11" s="103" t="n">
        <v>607</v>
      </c>
      <c r="B11" s="331" t="s">
        <v>50</v>
      </c>
      <c r="C11" s="214" t="n">
        <v>1806.42</v>
      </c>
      <c r="D11" s="305" t="n">
        <v>649855807.27</v>
      </c>
      <c r="E11" s="330" t="n">
        <f aca="false" ca="false" dt2D="false" dtr="false" t="normal">ROUND(100*C11/D11, 2)</f>
        <v>0</v>
      </c>
      <c r="F11" s="233" t="n">
        <v>5</v>
      </c>
      <c r="H11" s="286" t="n"/>
      <c r="I11" s="4" t="n"/>
      <c r="J11" s="154" t="n"/>
      <c r="K11" s="55" t="n"/>
      <c r="L11" s="59" t="n"/>
    </row>
    <row ht="45" outlineLevel="0" r="12">
      <c r="A12" s="103" t="n">
        <v>609</v>
      </c>
      <c r="B12" s="331" t="s">
        <v>37</v>
      </c>
      <c r="C12" s="214" t="n">
        <v>23984.88</v>
      </c>
      <c r="D12" s="305" t="n">
        <v>3674577936.43</v>
      </c>
      <c r="E12" s="330" t="n">
        <f aca="false" ca="false" dt2D="false" dtr="false" t="normal">ROUND(100*C12/D12, 2)</f>
        <v>0</v>
      </c>
      <c r="F12" s="233" t="n">
        <v>5</v>
      </c>
      <c r="H12" s="286" t="n"/>
      <c r="I12" s="4" t="n"/>
      <c r="J12" s="154" t="n"/>
      <c r="K12" s="55" t="n"/>
      <c r="L12" s="59" t="n"/>
    </row>
    <row ht="30" outlineLevel="0" r="13">
      <c r="A13" s="103" t="n">
        <v>611</v>
      </c>
      <c r="B13" s="331" t="s">
        <v>47</v>
      </c>
      <c r="C13" s="219" t="n">
        <v>678.25</v>
      </c>
      <c r="D13" s="305" t="n">
        <v>221327330.26</v>
      </c>
      <c r="E13" s="330" t="n">
        <f aca="false" ca="false" dt2D="false" dtr="false" t="normal">ROUND(100*C13/D13, 2)</f>
        <v>0</v>
      </c>
      <c r="F13" s="233" t="n">
        <v>5</v>
      </c>
      <c r="H13" s="286" t="n"/>
      <c r="I13" s="4" t="n"/>
      <c r="J13" s="154" t="n"/>
      <c r="K13" s="55" t="n"/>
      <c r="L13" s="59" t="n"/>
    </row>
    <row ht="30" outlineLevel="0" r="14">
      <c r="A14" s="103" t="n">
        <v>617</v>
      </c>
      <c r="B14" s="331" t="s">
        <v>42</v>
      </c>
      <c r="C14" s="214" t="n">
        <v>16146683.43</v>
      </c>
      <c r="D14" s="305" t="n">
        <v>193091584.42</v>
      </c>
      <c r="E14" s="330" t="n">
        <f aca="false" ca="false" dt2D="false" dtr="false" t="normal">ROUND(100*C14/D14, 2)</f>
        <v>8.36</v>
      </c>
      <c r="F14" s="233" t="n">
        <v>5</v>
      </c>
      <c r="H14" s="286" t="n"/>
      <c r="I14" s="4" t="n"/>
      <c r="J14" s="154" t="n"/>
      <c r="K14" s="55" t="n"/>
      <c r="L14" s="59" t="n"/>
    </row>
    <row ht="30" outlineLevel="0" r="15">
      <c r="A15" s="103" t="n">
        <v>618</v>
      </c>
      <c r="B15" s="331" t="s">
        <v>38</v>
      </c>
      <c r="C15" s="214" t="n">
        <v>30242.59</v>
      </c>
      <c r="D15" s="305" t="n">
        <v>186005577.49</v>
      </c>
      <c r="E15" s="330" t="n">
        <f aca="false" ca="false" dt2D="false" dtr="false" t="normal">ROUND(100*C15/D15, 2)</f>
        <v>0.02</v>
      </c>
      <c r="F15" s="233" t="n">
        <v>5</v>
      </c>
      <c r="H15" s="286" t="n"/>
      <c r="I15" s="4" t="n"/>
      <c r="J15" s="154" t="n"/>
      <c r="K15" s="55" t="n"/>
      <c r="L15" s="59" t="n"/>
    </row>
    <row ht="30" outlineLevel="0" r="16">
      <c r="A16" s="103" t="n">
        <v>619</v>
      </c>
      <c r="B16" s="331" t="s">
        <v>44</v>
      </c>
      <c r="C16" s="214" t="n">
        <v>2083830.71</v>
      </c>
      <c r="D16" s="305" t="n">
        <v>307515879.24</v>
      </c>
      <c r="E16" s="330" t="n">
        <f aca="false" ca="false" dt2D="false" dtr="false" t="normal">ROUND(100*C16/D16, 2)</f>
        <v>0.68</v>
      </c>
      <c r="F16" s="233" t="n">
        <v>3</v>
      </c>
      <c r="H16" s="286" t="n"/>
      <c r="I16" s="4" t="n"/>
      <c r="J16" s="154" t="n"/>
      <c r="K16" s="55" t="n"/>
      <c r="L16" s="59" t="n"/>
    </row>
    <row ht="30" outlineLevel="0" r="17">
      <c r="A17" s="103" t="n">
        <v>620</v>
      </c>
      <c r="B17" s="331" t="s">
        <v>48</v>
      </c>
      <c r="C17" s="214" t="n">
        <v>346947.59</v>
      </c>
      <c r="D17" s="305" t="n">
        <v>2232558219.28</v>
      </c>
      <c r="E17" s="330" t="n">
        <f aca="false" ca="false" dt2D="false" dtr="false" t="normal">ROUND(100*C17/D17, 2)</f>
        <v>0.02</v>
      </c>
      <c r="F17" s="233" t="n">
        <v>5</v>
      </c>
      <c r="H17" s="286" t="n"/>
      <c r="I17" s="4" t="n"/>
      <c r="J17" s="154" t="n"/>
      <c r="K17" s="55" t="n"/>
      <c r="L17" s="59" t="n"/>
    </row>
    <row ht="30" outlineLevel="0" r="18">
      <c r="A18" s="103" t="n">
        <v>621</v>
      </c>
      <c r="B18" s="331" t="s">
        <v>54</v>
      </c>
      <c r="C18" s="214" t="n">
        <v>60996.43</v>
      </c>
      <c r="D18" s="305" t="n">
        <v>1152068014.75</v>
      </c>
      <c r="E18" s="330" t="n">
        <f aca="false" ca="false" dt2D="false" dtr="false" t="normal">ROUND(100*C18/D18, 2)</f>
        <v>0.01</v>
      </c>
      <c r="F18" s="233" t="n">
        <v>5</v>
      </c>
      <c r="H18" s="286" t="n"/>
      <c r="I18" s="4" t="n"/>
      <c r="J18" s="154" t="n"/>
      <c r="K18" s="55" t="n"/>
      <c r="L18" s="59" t="n"/>
    </row>
    <row ht="45" outlineLevel="0" r="19">
      <c r="A19" s="103" t="n">
        <v>624</v>
      </c>
      <c r="B19" s="331" t="s">
        <v>40</v>
      </c>
      <c r="C19" s="214" t="n">
        <v>86261.52</v>
      </c>
      <c r="D19" s="305" t="n">
        <v>99369191.99</v>
      </c>
      <c r="E19" s="330" t="n">
        <f aca="false" ca="false" dt2D="false" dtr="false" t="normal">ROUND(100*C19/D19, 2)</f>
        <v>0.09</v>
      </c>
      <c r="F19" s="233" t="n">
        <v>5</v>
      </c>
      <c r="H19" s="286" t="n"/>
      <c r="I19" s="4" t="n"/>
      <c r="J19" s="154" t="n"/>
      <c r="K19" s="55" t="n"/>
      <c r="L19" s="59" t="n"/>
    </row>
    <row outlineLevel="0" r="20">
      <c r="A20" s="103" t="n">
        <v>600</v>
      </c>
      <c r="B20" s="331" t="s">
        <v>51</v>
      </c>
      <c r="C20" s="313" t="n">
        <v>46272.04</v>
      </c>
      <c r="D20" s="305" t="n">
        <v>63497746.32</v>
      </c>
      <c r="E20" s="333" t="n">
        <f aca="false" ca="false" dt2D="false" dtr="false" t="normal">ROUND(C20/D20*100, 2)</f>
        <v>0.07</v>
      </c>
      <c r="F20" s="334" t="n">
        <v>5</v>
      </c>
      <c r="H20" s="274" t="n"/>
      <c r="I20" s="4" t="n"/>
      <c r="J20" s="59" t="n"/>
      <c r="L20" s="59" t="n"/>
    </row>
    <row ht="30" outlineLevel="0" r="21">
      <c r="A21" s="103" t="n">
        <v>643</v>
      </c>
      <c r="B21" s="331" t="s">
        <v>52</v>
      </c>
      <c r="C21" s="313" t="n">
        <v>3782.08</v>
      </c>
      <c r="D21" s="305" t="n">
        <v>17025017.72</v>
      </c>
      <c r="E21" s="333" t="n">
        <f aca="false" ca="false" dt2D="false" dtr="false" t="normal">ROUND(C21/D21*100, 2)</f>
        <v>0.02</v>
      </c>
      <c r="F21" s="334" t="n">
        <v>5</v>
      </c>
      <c r="H21" s="274" t="n"/>
      <c r="I21" s="4" t="n"/>
      <c r="J21" s="59" t="n"/>
      <c r="L21" s="59" t="n"/>
    </row>
    <row outlineLevel="0" r="22">
      <c r="A22" s="238" t="n"/>
      <c r="B22" s="238" t="n"/>
      <c r="C22" s="241" t="n"/>
      <c r="D22" s="239" t="n"/>
      <c r="E22" s="335" t="n"/>
      <c r="F22" s="240" t="n"/>
      <c r="H22" s="274" t="n"/>
      <c r="I22" s="4" t="n"/>
      <c r="J22" s="59" t="n"/>
      <c r="L22" s="59" t="n"/>
    </row>
    <row outlineLevel="0" r="23">
      <c r="A23" s="238" t="n"/>
      <c r="B23" s="238" t="s">
        <v>23</v>
      </c>
      <c r="C23" s="241" t="n"/>
      <c r="D23" s="239" t="n"/>
      <c r="E23" s="336" t="n">
        <f aca="false" ca="true" dt2D="false" dtr="false" t="normal">SUBTOTAL(9, E6:E21)</f>
        <v>10.839999999999998</v>
      </c>
      <c r="F23" s="240" t="n"/>
      <c r="H23" s="274" t="n"/>
      <c r="I23" s="4" t="n"/>
      <c r="J23" s="59" t="n"/>
      <c r="L23" s="59" t="n"/>
    </row>
    <row outlineLevel="0" r="24">
      <c r="A24" s="238" t="n"/>
      <c r="B24" s="242" t="s">
        <v>24</v>
      </c>
      <c r="C24" s="241" t="n"/>
      <c r="D24" s="239" t="n"/>
      <c r="E24" s="337" t="n">
        <f aca="false" ca="false" dt2D="false" dtr="false" t="normal">ROUND(E23/16, 2)</f>
        <v>0.68</v>
      </c>
      <c r="F24" s="240" t="n"/>
      <c r="H24" s="274" t="n"/>
      <c r="I24" s="4" t="n"/>
      <c r="J24" s="59" t="n"/>
      <c r="L24" s="59" t="n"/>
    </row>
    <row outlineLevel="0" r="25">
      <c r="A25" s="57" t="n"/>
      <c r="B25" s="57" t="n"/>
      <c r="C25" s="206" t="n"/>
      <c r="D25" s="274" t="n"/>
      <c r="E25" s="59" t="n"/>
      <c r="H25" s="274" t="n"/>
      <c r="I25" s="4" t="n"/>
      <c r="J25" s="59" t="n"/>
      <c r="L25" s="59" t="n"/>
    </row>
    <row outlineLevel="0" r="26">
      <c r="A26" s="57" t="n"/>
      <c r="B26" s="57" t="n"/>
      <c r="C26" s="206" t="n"/>
      <c r="D26" s="274" t="n"/>
      <c r="E26" s="59" t="n"/>
      <c r="H26" s="274" t="n"/>
      <c r="I26" s="4" t="n"/>
      <c r="J26" s="59" t="n"/>
      <c r="L26" s="59" t="n"/>
    </row>
    <row outlineLevel="0" r="27">
      <c r="C27" s="338" t="n">
        <f aca="false" ca="false" dt2D="false" dtr="false" t="normal">SUM(C6:C21)</f>
        <v>23644413.279999997</v>
      </c>
      <c r="D27" s="338" t="n">
        <f aca="false" ca="false" dt2D="false" dtr="false" t="normal">SUM(D6:D21)</f>
        <v>14122691000.08</v>
      </c>
      <c r="H27" s="4" t="n"/>
    </row>
    <row outlineLevel="0" r="28">
      <c r="C28" s="326" t="n">
        <v>7.77</v>
      </c>
      <c r="D28" s="338" t="n">
        <v>53903668.16</v>
      </c>
      <c r="H28" s="268" t="n"/>
    </row>
    <row outlineLevel="0" r="29">
      <c r="C29" s="326" t="n">
        <v>0</v>
      </c>
      <c r="D29" s="338" t="n">
        <v>14435038.61</v>
      </c>
      <c r="H29" s="4" t="n"/>
    </row>
    <row outlineLevel="0" r="30">
      <c r="C30" s="339" t="n">
        <f aca="false" ca="false" dt2D="false" dtr="false" t="normal">SUM(C27:C29)</f>
        <v>23644421.049999997</v>
      </c>
      <c r="D30" s="339" t="n">
        <f aca="false" ca="false" dt2D="false" dtr="false" t="normal">SUM(D27:D29)</f>
        <v>14191029706.85</v>
      </c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7"/>
</worksheet>
</file>

<file path=xl/worksheets/sheet1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Y2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3.5703138387917"/>
    <col customWidth="true" max="5" min="5" outlineLevel="0" style="3" width="19.570313162127"/>
    <col customWidth="true" max="16" min="6" outlineLevel="0" style="3" width="13.1406246325922"/>
    <col bestFit="true" customWidth="true" max="18" min="17" outlineLevel="0" style="3" width="9.14062530925693"/>
    <col bestFit="true" customWidth="true" max="19" min="19" outlineLevel="0" style="3" width="15.7109369488883"/>
    <col bestFit="true" customWidth="true" max="20" min="20" outlineLevel="0" style="3" width="12.8554686436103"/>
    <col bestFit="true" customWidth="true" max="16384" min="21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  <c r="G1" s="198" t="n"/>
      <c r="H1" s="198" t="n"/>
      <c r="I1" s="198" t="n"/>
      <c r="J1" s="198" t="n"/>
      <c r="K1" s="198" t="n"/>
      <c r="L1" s="198" t="n"/>
      <c r="M1" s="198" t="n"/>
      <c r="N1" s="198" t="n"/>
      <c r="O1" s="198" t="n"/>
      <c r="P1" s="198" t="n"/>
    </row>
    <row ht="19.5" outlineLevel="0" r="2">
      <c r="A2" s="199" t="s">
        <v>193</v>
      </c>
      <c r="B2" s="199" t="s"/>
      <c r="C2" s="199" t="s"/>
      <c r="D2" s="199" t="s"/>
      <c r="E2" s="199" t="s"/>
      <c r="F2" s="199" t="s"/>
      <c r="G2" s="199" t="n"/>
      <c r="H2" s="199" t="n"/>
      <c r="I2" s="199" t="n"/>
      <c r="J2" s="199" t="n"/>
      <c r="K2" s="199" t="n"/>
      <c r="L2" s="199" t="n"/>
      <c r="M2" s="199" t="n"/>
      <c r="N2" s="199" t="n"/>
      <c r="O2" s="199" t="n"/>
      <c r="P2" s="199" t="n"/>
    </row>
    <row ht="135" outlineLevel="0" r="5">
      <c r="A5" s="53" t="s">
        <v>35</v>
      </c>
      <c r="B5" s="53" t="s">
        <v>2</v>
      </c>
      <c r="C5" s="248" t="s">
        <v>194</v>
      </c>
      <c r="D5" s="248" t="s">
        <v>195</v>
      </c>
      <c r="E5" s="53" t="s">
        <v>196</v>
      </c>
      <c r="F5" s="53" t="s">
        <v>140</v>
      </c>
      <c r="G5" s="210" t="n"/>
      <c r="H5" s="210" t="n"/>
      <c r="I5" s="210" t="n"/>
      <c r="J5" s="210" t="n"/>
      <c r="K5" s="210" t="n"/>
      <c r="L5" s="210" t="n"/>
      <c r="M5" s="210" t="n"/>
      <c r="N5" s="210" t="n"/>
      <c r="O5" s="210" t="n"/>
      <c r="P5" s="210" t="n"/>
    </row>
    <row outlineLevel="0" r="6">
      <c r="A6" s="236" t="n">
        <v>601</v>
      </c>
      <c r="B6" s="255" t="s">
        <v>13</v>
      </c>
      <c r="C6" s="285" t="n">
        <v>12312093.19</v>
      </c>
      <c r="D6" s="285" t="n">
        <v>4413414.17</v>
      </c>
      <c r="E6" s="340" t="n">
        <f aca="false" ca="false" dt2D="false" dtr="false" t="normal">ROUND((C6-D6)/C6*100, 2)</f>
        <v>64.15</v>
      </c>
      <c r="F6" s="233" t="n">
        <v>0</v>
      </c>
      <c r="H6" s="216" t="n">
        <v>4645.25</v>
      </c>
      <c r="I6" s="286" t="n">
        <v>5156.33</v>
      </c>
      <c r="J6" s="341" t="n">
        <v>0</v>
      </c>
      <c r="K6" s="55" t="n">
        <v>0</v>
      </c>
      <c r="M6" s="4" t="n"/>
      <c r="Q6" s="3" t="n">
        <v>0</v>
      </c>
      <c r="R6" s="3" t="n">
        <f aca="false" ca="false" dt2D="false" dtr="false" t="normal">F6-Q6</f>
        <v>0</v>
      </c>
      <c r="S6" s="286" t="n">
        <v>4645.25</v>
      </c>
      <c r="T6" s="4" t="n">
        <v>5156.33</v>
      </c>
      <c r="U6" s="154" t="n">
        <v>0</v>
      </c>
      <c r="V6" s="55" t="n">
        <v>0</v>
      </c>
      <c r="W6" s="59" t="n">
        <f aca="false" ca="false" dt2D="false" dtr="false" t="normal">C6-S6</f>
        <v>12307447.94</v>
      </c>
      <c r="X6" s="4" t="n">
        <f aca="false" ca="false" dt2D="false" dtr="false" t="normal">T6-D6</f>
        <v>-4408257.84</v>
      </c>
      <c r="Y6" s="4" t="n">
        <f aca="false" ca="false" dt2D="false" dtr="false" t="normal">E6-V6</f>
        <v>64.15</v>
      </c>
    </row>
    <row ht="30" outlineLevel="0" r="7">
      <c r="A7" s="212" t="n">
        <v>602</v>
      </c>
      <c r="B7" s="258" t="s">
        <v>53</v>
      </c>
      <c r="C7" s="285" t="n">
        <v>5532411.12</v>
      </c>
      <c r="D7" s="285" t="n">
        <v>380422.12</v>
      </c>
      <c r="E7" s="340" t="n">
        <f aca="false" ca="false" dt2D="false" dtr="false" t="normal">ROUND((C7-D7)/C7*100, 2)</f>
        <v>93.12</v>
      </c>
      <c r="F7" s="233" t="n">
        <v>0</v>
      </c>
      <c r="H7" s="216" t="n">
        <v>0</v>
      </c>
      <c r="I7" s="286" t="n">
        <v>426127.12</v>
      </c>
      <c r="J7" s="341" t="n">
        <v>0</v>
      </c>
      <c r="K7" s="55" t="n">
        <v>0</v>
      </c>
      <c r="M7" s="4" t="n"/>
      <c r="Q7" s="3" t="n">
        <v>0</v>
      </c>
      <c r="R7" s="3" t="n">
        <f aca="false" ca="false" dt2D="false" dtr="false" t="normal">F7-Q7</f>
        <v>0</v>
      </c>
      <c r="S7" s="286" t="n">
        <v>0</v>
      </c>
      <c r="T7" s="4" t="n">
        <v>426127.12</v>
      </c>
      <c r="U7" s="154" t="n">
        <v>0</v>
      </c>
      <c r="V7" s="55" t="n">
        <v>0</v>
      </c>
      <c r="W7" s="59" t="n">
        <f aca="false" ca="false" dt2D="false" dtr="false" t="normal">C7-S7</f>
        <v>5532411.12</v>
      </c>
      <c r="X7" s="4" t="n">
        <f aca="false" ca="false" dt2D="false" dtr="false" t="normal">T7-D7</f>
        <v>45705</v>
      </c>
      <c r="Y7" s="4" t="n">
        <f aca="false" ca="false" dt2D="false" dtr="false" t="normal">E7-V7</f>
        <v>93.12</v>
      </c>
    </row>
    <row ht="30" outlineLevel="0" r="8">
      <c r="A8" s="212" t="n">
        <v>604</v>
      </c>
      <c r="B8" s="258" t="s">
        <v>49</v>
      </c>
      <c r="C8" s="342" t="n">
        <v>899.16</v>
      </c>
      <c r="D8" s="285" t="n">
        <v>1084.7</v>
      </c>
      <c r="E8" s="340" t="n">
        <f aca="false" ca="false" dt2D="false" dtr="false" t="normal">ROUND((C8-D8)/C8*100, 2)</f>
        <v>-20.63</v>
      </c>
      <c r="F8" s="233" t="n">
        <v>0</v>
      </c>
      <c r="H8" s="216" t="n">
        <v>3465.29</v>
      </c>
      <c r="I8" s="286" t="n">
        <v>2302.69</v>
      </c>
      <c r="J8" s="288" t="n">
        <v>33.55</v>
      </c>
      <c r="K8" s="55" t="n">
        <v>3</v>
      </c>
      <c r="M8" s="4" t="n"/>
      <c r="Q8" s="3" t="n">
        <v>3</v>
      </c>
      <c r="R8" s="3" t="n">
        <f aca="false" ca="false" dt2D="false" dtr="false" t="normal">F8-Q8</f>
        <v>-3</v>
      </c>
      <c r="S8" s="286" t="n">
        <v>3465.29</v>
      </c>
      <c r="T8" s="4" t="n">
        <v>2302.69</v>
      </c>
      <c r="U8" s="154" t="n">
        <v>33.55</v>
      </c>
      <c r="V8" s="55" t="n">
        <v>3</v>
      </c>
      <c r="W8" s="59" t="n">
        <f aca="false" ca="false" dt2D="false" dtr="false" t="normal">C8-S8</f>
        <v>-2566.13</v>
      </c>
      <c r="X8" s="4" t="n">
        <f aca="false" ca="false" dt2D="false" dtr="false" t="normal">T8-D8</f>
        <v>1217.99</v>
      </c>
      <c r="Y8" s="4" t="n">
        <f aca="false" ca="false" dt2D="false" dtr="false" t="normal">E8-V8</f>
        <v>-23.63</v>
      </c>
    </row>
    <row ht="45" outlineLevel="0" r="9">
      <c r="A9" s="212" t="n">
        <v>605</v>
      </c>
      <c r="B9" s="258" t="s">
        <v>45</v>
      </c>
      <c r="C9" s="285" t="n">
        <v>21027.14</v>
      </c>
      <c r="D9" s="285" t="n">
        <v>18006.6</v>
      </c>
      <c r="E9" s="340" t="n">
        <f aca="false" ca="false" dt2D="false" dtr="false" t="normal">ROUND((C9-D9)/C9*100, 2)</f>
        <v>14.36</v>
      </c>
      <c r="F9" s="233" t="n">
        <v>5</v>
      </c>
      <c r="H9" s="216" t="n">
        <v>1279.47</v>
      </c>
      <c r="I9" s="286" t="n">
        <v>8342.53</v>
      </c>
      <c r="J9" s="341" t="n">
        <v>-552.03</v>
      </c>
      <c r="K9" s="55" t="n">
        <v>0</v>
      </c>
      <c r="M9" s="4" t="n"/>
      <c r="Q9" s="3" t="n">
        <v>0</v>
      </c>
      <c r="R9" s="3" t="n">
        <f aca="false" ca="false" dt2D="false" dtr="false" t="normal">F9-Q9</f>
        <v>5</v>
      </c>
      <c r="S9" s="286" t="n">
        <v>1279.47</v>
      </c>
      <c r="T9" s="4" t="n">
        <v>8342.53</v>
      </c>
      <c r="U9" s="154" t="n">
        <v>-552.03</v>
      </c>
      <c r="V9" s="55" t="n">
        <v>0</v>
      </c>
      <c r="W9" s="59" t="n">
        <f aca="false" ca="false" dt2D="false" dtr="false" t="normal">C9-S9</f>
        <v>19747.67</v>
      </c>
      <c r="X9" s="4" t="n">
        <f aca="false" ca="false" dt2D="false" dtr="false" t="normal">T9-D9</f>
        <v>-9664.069999999998</v>
      </c>
      <c r="Y9" s="4" t="n">
        <f aca="false" ca="false" dt2D="false" dtr="false" t="normal">E9-V9</f>
        <v>14.36</v>
      </c>
    </row>
    <row ht="30" outlineLevel="0" r="10">
      <c r="A10" s="212" t="n">
        <v>606</v>
      </c>
      <c r="B10" s="258" t="s">
        <v>46</v>
      </c>
      <c r="C10" s="342" t="n">
        <v>0</v>
      </c>
      <c r="D10" s="342" t="n">
        <v>476.01</v>
      </c>
      <c r="E10" s="340" t="n">
        <v>0</v>
      </c>
      <c r="F10" s="233" t="n">
        <v>0</v>
      </c>
      <c r="H10" s="216" t="n">
        <v>0</v>
      </c>
      <c r="I10" s="286" t="n">
        <v>99834.95</v>
      </c>
      <c r="J10" s="341" t="n">
        <v>0</v>
      </c>
      <c r="K10" s="55" t="n">
        <v>0</v>
      </c>
      <c r="M10" s="4" t="n"/>
      <c r="Q10" s="3" t="n">
        <v>0</v>
      </c>
      <c r="R10" s="3" t="n">
        <f aca="false" ca="false" dt2D="false" dtr="false" t="normal">F10-Q10</f>
        <v>0</v>
      </c>
      <c r="S10" s="286" t="n">
        <v>0</v>
      </c>
      <c r="T10" s="4" t="n">
        <v>99834.95</v>
      </c>
      <c r="U10" s="154" t="n">
        <v>0</v>
      </c>
      <c r="V10" s="55" t="n">
        <v>0</v>
      </c>
      <c r="W10" s="59" t="n">
        <f aca="false" ca="false" dt2D="false" dtr="false" t="normal">C10-S10</f>
        <v>0</v>
      </c>
      <c r="X10" s="4" t="n">
        <f aca="false" ca="false" dt2D="false" dtr="false" t="normal">T10-D10</f>
        <v>99358.94</v>
      </c>
      <c r="Y10" s="4" t="n">
        <f aca="false" ca="false" dt2D="false" dtr="false" t="normal">E10-V10</f>
        <v>0</v>
      </c>
    </row>
    <row ht="30" outlineLevel="0" r="11">
      <c r="A11" s="212" t="n">
        <v>607</v>
      </c>
      <c r="B11" s="258" t="s">
        <v>50</v>
      </c>
      <c r="C11" s="285" t="n">
        <v>21681.07</v>
      </c>
      <c r="D11" s="285" t="n">
        <v>11450.42</v>
      </c>
      <c r="E11" s="340" t="n">
        <f aca="false" ca="false" dt2D="false" dtr="false" t="normal">ROUND((C11-D11)/C11*100, 2)</f>
        <v>47.19</v>
      </c>
      <c r="F11" s="233" t="n">
        <v>0</v>
      </c>
      <c r="H11" s="216" t="n">
        <v>32991.8</v>
      </c>
      <c r="I11" s="286" t="n">
        <v>1387064.7</v>
      </c>
      <c r="J11" s="341" t="n">
        <v>-4104.27</v>
      </c>
      <c r="K11" s="55" t="n">
        <v>0</v>
      </c>
      <c r="M11" s="4" t="n"/>
      <c r="Q11" s="3" t="n">
        <v>0</v>
      </c>
      <c r="R11" s="3" t="n">
        <f aca="false" ca="false" dt2D="false" dtr="false" t="normal">F11-Q11</f>
        <v>0</v>
      </c>
      <c r="S11" s="286" t="n">
        <v>32991.8</v>
      </c>
      <c r="T11" s="4" t="n">
        <v>1387064.7</v>
      </c>
      <c r="U11" s="154" t="n">
        <v>-4104.27</v>
      </c>
      <c r="V11" s="55" t="n">
        <v>0</v>
      </c>
      <c r="W11" s="59" t="n">
        <f aca="false" ca="false" dt2D="false" dtr="false" t="normal">C11-S11</f>
        <v>-11310.730000000003</v>
      </c>
      <c r="X11" s="4" t="n">
        <f aca="false" ca="false" dt2D="false" dtr="false" t="normal">T11-D11</f>
        <v>1375614.28</v>
      </c>
      <c r="Y11" s="4" t="n">
        <f aca="false" ca="false" dt2D="false" dtr="false" t="normal">E11-V11</f>
        <v>47.19</v>
      </c>
    </row>
    <row ht="45" outlineLevel="0" r="12">
      <c r="A12" s="212" t="n">
        <v>609</v>
      </c>
      <c r="B12" s="258" t="s">
        <v>37</v>
      </c>
      <c r="C12" s="285" t="n">
        <v>42444.53</v>
      </c>
      <c r="D12" s="285" t="n">
        <v>23984.88</v>
      </c>
      <c r="E12" s="340" t="n">
        <f aca="false" ca="false" dt2D="false" dtr="false" t="normal">ROUND((C12-D12)/C12*100, 2)</f>
        <v>43.49</v>
      </c>
      <c r="F12" s="233" t="n">
        <v>5</v>
      </c>
      <c r="H12" s="216" t="n">
        <v>3606.68</v>
      </c>
      <c r="I12" s="286" t="n">
        <v>0</v>
      </c>
      <c r="J12" s="287" t="n">
        <v>100</v>
      </c>
      <c r="K12" s="55" t="n">
        <v>5</v>
      </c>
      <c r="M12" s="4" t="n"/>
      <c r="Q12" s="3" t="n">
        <v>5</v>
      </c>
      <c r="R12" s="3" t="n">
        <f aca="false" ca="false" dt2D="false" dtr="false" t="normal">F12-Q12</f>
        <v>0</v>
      </c>
      <c r="S12" s="286" t="n">
        <v>3606.68</v>
      </c>
      <c r="T12" s="4" t="n">
        <v>0</v>
      </c>
      <c r="U12" s="154" t="n">
        <v>100</v>
      </c>
      <c r="V12" s="55" t="n">
        <v>5</v>
      </c>
      <c r="W12" s="59" t="n">
        <f aca="false" ca="false" dt2D="false" dtr="false" t="normal">C12-S12</f>
        <v>38837.85</v>
      </c>
      <c r="X12" s="4" t="n">
        <f aca="false" ca="false" dt2D="false" dtr="false" t="normal">T12-D12</f>
        <v>-23984.88</v>
      </c>
      <c r="Y12" s="4" t="n">
        <f aca="false" ca="false" dt2D="false" dtr="false" t="normal">E12-V12</f>
        <v>38.49</v>
      </c>
    </row>
    <row ht="30" outlineLevel="0" r="13">
      <c r="A13" s="212" t="n">
        <v>611</v>
      </c>
      <c r="B13" s="258" t="s">
        <v>47</v>
      </c>
      <c r="C13" s="285" t="n">
        <v>2272751.57</v>
      </c>
      <c r="D13" s="342" t="n">
        <v>678.25</v>
      </c>
      <c r="E13" s="340" t="n">
        <f aca="false" ca="false" dt2D="false" dtr="false" t="normal">ROUND((C13-D13)/C13*100, 2)</f>
        <v>99.97</v>
      </c>
      <c r="F13" s="233" t="n">
        <v>2</v>
      </c>
      <c r="H13" s="216" t="n">
        <v>2231.75</v>
      </c>
      <c r="I13" s="286" t="n">
        <v>101617.25</v>
      </c>
      <c r="J13" s="341" t="n">
        <v>0</v>
      </c>
      <c r="K13" s="55" t="n">
        <v>0</v>
      </c>
      <c r="M13" s="4" t="n"/>
      <c r="Q13" s="3" t="n">
        <v>0</v>
      </c>
      <c r="R13" s="3" t="n">
        <f aca="false" ca="false" dt2D="false" dtr="false" t="normal">F13-Q13</f>
        <v>2</v>
      </c>
      <c r="S13" s="286" t="n">
        <v>2231.75</v>
      </c>
      <c r="T13" s="4" t="n">
        <v>101617.25</v>
      </c>
      <c r="U13" s="154" t="n">
        <v>0</v>
      </c>
      <c r="V13" s="55" t="n">
        <v>0</v>
      </c>
      <c r="W13" s="59" t="n">
        <f aca="false" ca="false" dt2D="false" dtr="false" t="normal">C13-S13</f>
        <v>2270519.82</v>
      </c>
      <c r="X13" s="4" t="n">
        <f aca="false" ca="false" dt2D="false" dtr="false" t="normal">T13-D13</f>
        <v>100939</v>
      </c>
      <c r="Y13" s="4" t="n">
        <f aca="false" ca="false" dt2D="false" dtr="false" t="normal">E13-V13</f>
        <v>99.97</v>
      </c>
    </row>
    <row ht="30" outlineLevel="0" r="14">
      <c r="A14" s="212" t="n">
        <v>617</v>
      </c>
      <c r="B14" s="258" t="s">
        <v>42</v>
      </c>
      <c r="C14" s="285" t="n">
        <v>1881026</v>
      </c>
      <c r="D14" s="285" t="n">
        <v>16146683.43</v>
      </c>
      <c r="E14" s="340" t="n">
        <f aca="false" ca="false" dt2D="false" dtr="false" t="normal">ROUND((C14-D14)/C14*100, 2)</f>
        <v>-758.4</v>
      </c>
      <c r="F14" s="233" t="n">
        <v>5</v>
      </c>
      <c r="H14" s="216" t="n">
        <v>0</v>
      </c>
      <c r="I14" s="286" t="n">
        <v>2449111.13</v>
      </c>
      <c r="J14" s="341" t="n">
        <v>0</v>
      </c>
      <c r="K14" s="55" t="n">
        <v>0</v>
      </c>
      <c r="M14" s="4" t="n"/>
      <c r="Q14" s="3" t="n">
        <v>0</v>
      </c>
      <c r="R14" s="3" t="n">
        <f aca="false" ca="false" dt2D="false" dtr="false" t="normal">F14-Q14</f>
        <v>5</v>
      </c>
      <c r="S14" s="286" t="n">
        <v>0</v>
      </c>
      <c r="T14" s="4" t="n">
        <v>2449111.13</v>
      </c>
      <c r="U14" s="154" t="n">
        <v>0</v>
      </c>
      <c r="V14" s="55" t="n">
        <v>0</v>
      </c>
      <c r="W14" s="59" t="n">
        <f aca="false" ca="false" dt2D="false" dtr="false" t="normal">C14-S14</f>
        <v>1881026</v>
      </c>
      <c r="X14" s="4" t="n">
        <f aca="false" ca="false" dt2D="false" dtr="false" t="normal">T14-D14</f>
        <v>-13697572.3</v>
      </c>
      <c r="Y14" s="4" t="n">
        <f aca="false" ca="false" dt2D="false" dtr="false" t="normal">E14-V14</f>
        <v>-758.4</v>
      </c>
    </row>
    <row ht="30" outlineLevel="0" r="15">
      <c r="A15" s="212" t="n">
        <v>618</v>
      </c>
      <c r="B15" s="258" t="s">
        <v>38</v>
      </c>
      <c r="C15" s="285" t="n">
        <v>67428.6</v>
      </c>
      <c r="D15" s="285" t="n">
        <v>30242.59</v>
      </c>
      <c r="E15" s="340" t="n">
        <f aca="false" ca="false" dt2D="false" dtr="false" t="normal">ROUND((C15-D15)/C15*100, 2)</f>
        <v>55.15</v>
      </c>
      <c r="F15" s="233" t="n">
        <v>0</v>
      </c>
      <c r="H15" s="216" t="n">
        <v>9641.95</v>
      </c>
      <c r="I15" s="286" t="n">
        <v>11050.46</v>
      </c>
      <c r="J15" s="341" t="n">
        <v>-14.61</v>
      </c>
      <c r="K15" s="55" t="n">
        <v>0</v>
      </c>
      <c r="M15" s="4" t="n"/>
      <c r="Q15" s="3" t="n">
        <v>0</v>
      </c>
      <c r="R15" s="3" t="n">
        <f aca="false" ca="false" dt2D="false" dtr="false" t="normal">F15-Q15</f>
        <v>0</v>
      </c>
      <c r="S15" s="286" t="n">
        <v>9641.95</v>
      </c>
      <c r="T15" s="4" t="n">
        <v>11050.46</v>
      </c>
      <c r="U15" s="154" t="n">
        <v>-14.61</v>
      </c>
      <c r="V15" s="55" t="n">
        <v>0</v>
      </c>
      <c r="W15" s="59" t="n">
        <f aca="false" ca="false" dt2D="false" dtr="false" t="normal">C15-S15</f>
        <v>57786.65000000001</v>
      </c>
      <c r="X15" s="4" t="n">
        <f aca="false" ca="false" dt2D="false" dtr="false" t="normal">T15-D15</f>
        <v>-19192.13</v>
      </c>
      <c r="Y15" s="4" t="n">
        <f aca="false" ca="false" dt2D="false" dtr="false" t="normal">E15-V15</f>
        <v>55.15</v>
      </c>
    </row>
    <row ht="30" outlineLevel="0" r="16">
      <c r="A16" s="212" t="n">
        <v>619</v>
      </c>
      <c r="B16" s="258" t="s">
        <v>44</v>
      </c>
      <c r="C16" s="285" t="n">
        <v>8534397.73</v>
      </c>
      <c r="D16" s="285" t="n">
        <v>2083830.71</v>
      </c>
      <c r="E16" s="340" t="n">
        <f aca="false" ca="false" dt2D="false" dtr="false" t="normal">ROUND((C16-D16)/C16*100, 2)</f>
        <v>75.58</v>
      </c>
      <c r="F16" s="233" t="n">
        <v>0</v>
      </c>
      <c r="H16" s="216" t="n">
        <v>11200.68</v>
      </c>
      <c r="I16" s="286" t="n">
        <v>11203.91</v>
      </c>
      <c r="J16" s="341" t="n">
        <v>-0.03</v>
      </c>
      <c r="K16" s="55" t="n">
        <v>0</v>
      </c>
      <c r="M16" s="4" t="n"/>
      <c r="Q16" s="3" t="n">
        <v>0</v>
      </c>
      <c r="R16" s="3" t="n">
        <f aca="false" ca="false" dt2D="false" dtr="false" t="normal">F16-Q16</f>
        <v>0</v>
      </c>
      <c r="S16" s="286" t="n">
        <v>11200.68</v>
      </c>
      <c r="T16" s="4" t="n">
        <v>11203.91</v>
      </c>
      <c r="U16" s="154" t="n">
        <v>-0.03</v>
      </c>
      <c r="V16" s="55" t="n">
        <v>0</v>
      </c>
      <c r="W16" s="59" t="n">
        <f aca="false" ca="false" dt2D="false" dtr="false" t="normal">C16-S16</f>
        <v>8523197.05</v>
      </c>
      <c r="X16" s="4" t="n">
        <f aca="false" ca="false" dt2D="false" dtr="false" t="normal">T16-D16</f>
        <v>-2072626.8</v>
      </c>
      <c r="Y16" s="4" t="n">
        <f aca="false" ca="false" dt2D="false" dtr="false" t="normal">E16-V16</f>
        <v>75.58</v>
      </c>
    </row>
    <row ht="30" outlineLevel="0" r="17">
      <c r="A17" s="212" t="n">
        <v>620</v>
      </c>
      <c r="B17" s="258" t="s">
        <v>48</v>
      </c>
      <c r="C17" s="285" t="n">
        <v>15650397.88</v>
      </c>
      <c r="D17" s="285" t="n">
        <v>356184.84</v>
      </c>
      <c r="E17" s="340" t="n">
        <f aca="false" ca="false" dt2D="false" dtr="false" t="normal">ROUND((C17-D17)/C17*100, 2)</f>
        <v>97.72</v>
      </c>
      <c r="F17" s="233" t="n">
        <v>1</v>
      </c>
      <c r="H17" s="216" t="n">
        <v>5060124.12</v>
      </c>
      <c r="I17" s="286" t="n">
        <v>690330.92</v>
      </c>
      <c r="J17" s="287" t="n">
        <v>86.36</v>
      </c>
      <c r="K17" s="55" t="n">
        <v>5</v>
      </c>
      <c r="M17" s="4" t="n"/>
      <c r="Q17" s="3" t="n">
        <v>5</v>
      </c>
      <c r="R17" s="3" t="n">
        <f aca="false" ca="false" dt2D="false" dtr="false" t="normal">F17-Q17</f>
        <v>-4</v>
      </c>
      <c r="S17" s="286" t="n">
        <v>5060124.12</v>
      </c>
      <c r="T17" s="4" t="n">
        <v>690330.92</v>
      </c>
      <c r="U17" s="154" t="n">
        <v>86.36</v>
      </c>
      <c r="V17" s="55" t="n">
        <v>5</v>
      </c>
      <c r="W17" s="59" t="n">
        <f aca="false" ca="false" dt2D="false" dtr="false" t="normal">C17-S17</f>
        <v>10590273.760000002</v>
      </c>
      <c r="X17" s="4" t="n">
        <f aca="false" ca="false" dt2D="false" dtr="false" t="normal">T17-D17</f>
        <v>334146.08</v>
      </c>
      <c r="Y17" s="4" t="n">
        <f aca="false" ca="false" dt2D="false" dtr="false" t="normal">E17-V17</f>
        <v>92.72</v>
      </c>
    </row>
    <row ht="30" outlineLevel="0" r="18">
      <c r="A18" s="212" t="n">
        <v>621</v>
      </c>
      <c r="B18" s="258" t="s">
        <v>54</v>
      </c>
      <c r="C18" s="285" t="n">
        <v>5473751.56</v>
      </c>
      <c r="D18" s="285" t="n">
        <v>63049.43</v>
      </c>
      <c r="E18" s="340" t="n">
        <f aca="false" ca="false" dt2D="false" dtr="false" t="normal">ROUND((C18-D18)/C18*100, 2)</f>
        <v>98.85</v>
      </c>
      <c r="F18" s="233" t="n">
        <v>0</v>
      </c>
      <c r="H18" s="216" t="n">
        <v>2541660.74</v>
      </c>
      <c r="I18" s="286" t="n">
        <v>24703929.27</v>
      </c>
      <c r="J18" s="341" t="n">
        <v>0</v>
      </c>
      <c r="K18" s="55" t="n">
        <v>0</v>
      </c>
      <c r="M18" s="4" t="n"/>
      <c r="Q18" s="3" t="n">
        <v>0</v>
      </c>
      <c r="R18" s="3" t="n">
        <f aca="false" ca="false" dt2D="false" dtr="false" t="normal">F18-Q18</f>
        <v>0</v>
      </c>
      <c r="S18" s="286" t="n">
        <v>2541660.74</v>
      </c>
      <c r="T18" s="4" t="n">
        <v>24703929.27</v>
      </c>
      <c r="U18" s="154" t="n">
        <v>0</v>
      </c>
      <c r="V18" s="55" t="n">
        <v>0</v>
      </c>
      <c r="W18" s="59" t="n">
        <f aca="false" ca="false" dt2D="false" dtr="false" t="normal">C18-S18</f>
        <v>2932090.8199999994</v>
      </c>
      <c r="X18" s="4" t="n">
        <f aca="false" ca="false" dt2D="false" dtr="false" t="normal">T18-D18</f>
        <v>24640879.84</v>
      </c>
      <c r="Y18" s="4" t="n">
        <f aca="false" ca="false" dt2D="false" dtr="false" t="normal">E18-V18</f>
        <v>98.85</v>
      </c>
    </row>
    <row ht="45" outlineLevel="0" r="19">
      <c r="A19" s="212" t="n">
        <v>624</v>
      </c>
      <c r="B19" s="258" t="s">
        <v>40</v>
      </c>
      <c r="C19" s="285" t="n">
        <v>862323.81</v>
      </c>
      <c r="D19" s="285" t="n">
        <v>251647.52</v>
      </c>
      <c r="E19" s="340" t="n">
        <f aca="false" ca="false" dt2D="false" dtr="false" t="normal">ROUND((C19-D19)/C19*100, 2)</f>
        <v>70.82</v>
      </c>
      <c r="F19" s="233" t="n">
        <v>1</v>
      </c>
      <c r="H19" s="216" t="n">
        <v>1589530.29</v>
      </c>
      <c r="I19" s="290" t="n">
        <v>0</v>
      </c>
      <c r="J19" s="287" t="n">
        <v>100</v>
      </c>
      <c r="K19" s="55" t="n">
        <v>5</v>
      </c>
      <c r="L19" s="4" t="n"/>
      <c r="M19" s="4" t="n"/>
      <c r="Q19" s="3" t="n">
        <v>5</v>
      </c>
      <c r="R19" s="3" t="n">
        <f aca="false" ca="false" dt2D="false" dtr="false" t="normal">F19-Q19</f>
        <v>-4</v>
      </c>
      <c r="S19" s="286" t="n">
        <v>1589530.29</v>
      </c>
      <c r="T19" s="4" t="n">
        <v>0</v>
      </c>
      <c r="U19" s="154" t="n">
        <v>100</v>
      </c>
      <c r="V19" s="55" t="n">
        <v>5</v>
      </c>
      <c r="W19" s="59" t="n">
        <f aca="false" ca="false" dt2D="false" dtr="false" t="normal">C19-S19</f>
        <v>-727206.48</v>
      </c>
      <c r="X19" s="4" t="n">
        <f aca="false" ca="false" dt2D="false" dtr="false" t="normal">T19-D19</f>
        <v>-251647.52</v>
      </c>
      <c r="Y19" s="4" t="n">
        <f aca="false" ca="false" dt2D="false" dtr="false" t="normal">E19-V19</f>
        <v>65.82</v>
      </c>
    </row>
    <row outlineLevel="0" r="20">
      <c r="A20" s="212" t="n">
        <v>600</v>
      </c>
      <c r="B20" s="258" t="s">
        <v>51</v>
      </c>
      <c r="C20" s="285" t="n">
        <v>41139.99</v>
      </c>
      <c r="D20" s="285" t="n">
        <v>46272.04</v>
      </c>
      <c r="E20" s="340" t="n">
        <f aca="false" ca="false" dt2D="false" dtr="false" t="normal">ROUND((C20-D20)/C20*100, 2)</f>
        <v>-12.47</v>
      </c>
      <c r="F20" s="233" t="n">
        <v>2</v>
      </c>
      <c r="H20" s="206" t="n"/>
      <c r="I20" s="274" t="n"/>
      <c r="J20" s="291" t="n"/>
      <c r="M20" s="4" t="n"/>
      <c r="S20" s="274" t="n"/>
      <c r="T20" s="4" t="n"/>
      <c r="U20" s="59" t="n"/>
      <c r="W20" s="59" t="n"/>
      <c r="X20" s="4" t="n"/>
      <c r="Y20" s="4" t="n"/>
    </row>
    <row ht="30" outlineLevel="0" r="21">
      <c r="A21" s="212" t="n">
        <v>643</v>
      </c>
      <c r="B21" s="258" t="s">
        <v>52</v>
      </c>
      <c r="C21" s="342" t="n">
        <v>0</v>
      </c>
      <c r="D21" s="285" t="n">
        <v>3782.08</v>
      </c>
      <c r="E21" s="340" t="n">
        <v>0</v>
      </c>
      <c r="F21" s="233" t="n">
        <v>0</v>
      </c>
      <c r="H21" s="206" t="n"/>
      <c r="I21" s="274" t="n"/>
      <c r="J21" s="343" t="n"/>
      <c r="M21" s="4" t="n"/>
      <c r="S21" s="274" t="n"/>
      <c r="T21" s="4" t="n"/>
      <c r="U21" s="59" t="n"/>
      <c r="W21" s="59" t="n"/>
    </row>
    <row outlineLevel="0" r="22">
      <c r="A22" s="279" t="n"/>
      <c r="B22" s="279" t="s">
        <v>23</v>
      </c>
      <c r="C22" s="241" t="n"/>
      <c r="D22" s="344" t="n"/>
      <c r="E22" s="336" t="n">
        <f aca="false" ca="true" dt2D="false" dtr="false" t="normal">SUBTOTAL(9, E6:E20)</f>
        <v>-31.10000000000005</v>
      </c>
      <c r="F22" s="240" t="n"/>
      <c r="H22" s="206" t="n"/>
      <c r="I22" s="274" t="n"/>
      <c r="J22" s="345" t="n">
        <f aca="false" ca="true" dt2D="false" dtr="false" t="normal">SUBTOTAL(9, J6:J19)</f>
        <v>-4351.03</v>
      </c>
      <c r="S22" s="274" t="n"/>
      <c r="T22" s="4" t="n"/>
      <c r="U22" s="59" t="n"/>
      <c r="W22" s="59" t="n"/>
    </row>
    <row outlineLevel="0" r="23">
      <c r="A23" s="279" t="n"/>
      <c r="B23" s="282" t="s">
        <v>24</v>
      </c>
      <c r="C23" s="241" t="n"/>
      <c r="D23" s="239" t="n"/>
      <c r="E23" s="337" t="n">
        <f aca="false" ca="false" dt2D="false" dtr="false" t="normal">ROUND(E22/16, 2)</f>
        <v>-1.94</v>
      </c>
      <c r="F23" s="240" t="n"/>
      <c r="H23" s="206" t="n"/>
      <c r="I23" s="274" t="n"/>
      <c r="J23" s="346" t="n">
        <f aca="false" ca="false" dt2D="false" dtr="false" t="normal">ROUND(J22/14, 2)</f>
        <v>-310.78999999999996</v>
      </c>
      <c r="S23" s="274" t="n"/>
      <c r="T23" s="4" t="n"/>
      <c r="U23" s="59" t="n"/>
      <c r="W23" s="59" t="n"/>
    </row>
    <row outlineLevel="0" r="24">
      <c r="A24" s="57" t="n"/>
      <c r="B24" s="57" t="n"/>
      <c r="C24" s="206" t="n"/>
      <c r="D24" s="274" t="n"/>
      <c r="E24" s="343" t="n"/>
      <c r="S24" s="274" t="n"/>
      <c r="T24" s="4" t="n"/>
      <c r="U24" s="59" t="n"/>
      <c r="W24" s="59" t="n"/>
    </row>
    <row outlineLevel="0" r="25">
      <c r="A25" s="57" t="n"/>
      <c r="B25" s="57" t="n"/>
      <c r="C25" s="206" t="n"/>
      <c r="D25" s="274" t="n"/>
      <c r="E25" s="343" t="n"/>
      <c r="S25" s="274" t="n"/>
      <c r="T25" s="4" t="n"/>
      <c r="U25" s="59" t="n"/>
      <c r="W25" s="59" t="n"/>
    </row>
    <row outlineLevel="0" r="26">
      <c r="C26" s="326" t="n">
        <f aca="false" ca="false" dt2D="false" dtr="false" t="normal">SUM(C6:C21)</f>
        <v>52713773.35000001</v>
      </c>
      <c r="D26" s="338" t="n">
        <f aca="false" ca="false" dt2D="false" dtr="false" t="normal">SUM(D6:D21)</f>
        <v>23831209.789999995</v>
      </c>
      <c r="E26" s="161" t="n"/>
      <c r="S26" s="4" t="n"/>
    </row>
    <row outlineLevel="0" r="27">
      <c r="C27" s="326" t="n">
        <v>2403.45</v>
      </c>
      <c r="D27" s="338" t="n">
        <v>7.77</v>
      </c>
      <c r="E27" s="161" t="n"/>
      <c r="S27" s="268" t="n"/>
    </row>
    <row outlineLevel="0" r="28">
      <c r="C28" s="326" t="n">
        <v>0</v>
      </c>
      <c r="D28" s="338" t="n"/>
      <c r="E28" s="161" t="n"/>
      <c r="S28" s="4" t="n"/>
    </row>
    <row outlineLevel="0" r="29">
      <c r="C29" s="347" t="n">
        <f aca="false" ca="false" dt2D="false" dtr="false" t="normal">SUM(C26:C28)</f>
        <v>52716176.80000001</v>
      </c>
      <c r="D29" s="347" t="n">
        <f aca="false" ca="false" dt2D="false" dtr="false" t="normal">SUM(D26:D28)</f>
        <v>23831217.559999995</v>
      </c>
      <c r="E29" s="161" t="n"/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7"/>
</worksheet>
</file>

<file path=xl/worksheets/sheet1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2.8554689819427"/>
    <col customWidth="true" max="5" min="5" outlineLevel="0" style="3" width="21.9999996616676"/>
    <col customWidth="true" max="6" min="6" outlineLevel="0" style="3" width="13.1406246325922"/>
    <col bestFit="true" customWidth="true" max="8" min="7" outlineLevel="0" style="3" width="9.14062530925693"/>
    <col customWidth="true" max="9" min="9" outlineLevel="0" style="3" width="13.4257806215741"/>
    <col customWidth="true" max="10" min="10" outlineLevel="0" style="3" width="17.8554688127765"/>
    <col bestFit="true" customWidth="true" max="16384" min="11" outlineLevel="0" style="3" width="9.14062530925693"/>
  </cols>
  <sheetData>
    <row customFormat="true" customHeight="true" ht="20.4500007629395" outlineLevel="0" r="1" s="197">
      <c r="A1" s="198" t="s">
        <v>108</v>
      </c>
      <c r="B1" s="198" t="s"/>
      <c r="C1" s="198" t="s"/>
      <c r="D1" s="198" t="s"/>
      <c r="E1" s="198" t="s"/>
      <c r="F1" s="198" t="s"/>
    </row>
    <row customHeight="true" ht="25.5" outlineLevel="0" r="2">
      <c r="A2" s="199" t="s">
        <v>197</v>
      </c>
      <c r="B2" s="199" t="s"/>
      <c r="C2" s="199" t="s"/>
      <c r="D2" s="199" t="s"/>
      <c r="E2" s="199" t="s"/>
      <c r="F2" s="199" t="s"/>
    </row>
    <row ht="30" outlineLevel="0" r="3">
      <c r="C3" s="52" t="n"/>
      <c r="D3" s="52" t="s">
        <v>198</v>
      </c>
    </row>
    <row ht="135" outlineLevel="0" r="5">
      <c r="A5" s="53" t="s">
        <v>35</v>
      </c>
      <c r="B5" s="53" t="s">
        <v>2</v>
      </c>
      <c r="C5" s="248" t="s">
        <v>199</v>
      </c>
      <c r="D5" s="248" t="s">
        <v>200</v>
      </c>
      <c r="E5" s="53" t="s">
        <v>201</v>
      </c>
      <c r="F5" s="53" t="s">
        <v>140</v>
      </c>
      <c r="G5" s="55" t="n"/>
    </row>
    <row outlineLevel="0" r="6">
      <c r="A6" s="328" t="n">
        <v>601</v>
      </c>
      <c r="B6" s="255" t="s">
        <v>13</v>
      </c>
      <c r="C6" s="348" t="n">
        <v>30534397.18</v>
      </c>
      <c r="D6" s="348" t="n">
        <v>14275346.95</v>
      </c>
      <c r="E6" s="349" t="n">
        <f aca="false" ca="false" dt2D="false" dtr="false" t="normal">ROUND(C6/D6*100, 2)</f>
        <v>213.9</v>
      </c>
      <c r="F6" s="350" t="n">
        <v>0</v>
      </c>
      <c r="H6" s="59" t="n"/>
      <c r="I6" s="351" t="n">
        <v>4092794.7</v>
      </c>
      <c r="J6" s="352" t="n">
        <v>9375613.5</v>
      </c>
      <c r="K6" s="353" t="n">
        <f aca="false" ca="false" dt2D="false" dtr="false" t="normal">ROUND(I6/J6*100, 2)</f>
        <v>43.65</v>
      </c>
      <c r="L6" s="354" t="n">
        <v>0</v>
      </c>
    </row>
    <row ht="30" outlineLevel="0" r="7">
      <c r="A7" s="103" t="n">
        <v>602</v>
      </c>
      <c r="B7" s="258" t="s">
        <v>53</v>
      </c>
      <c r="C7" s="348" t="n">
        <v>564101613.61</v>
      </c>
      <c r="D7" s="348" t="n">
        <v>738496765.08</v>
      </c>
      <c r="E7" s="349" t="n">
        <f aca="false" ca="false" dt2D="false" dtr="false" t="normal">ROUND(C7/D7*100, 2)</f>
        <v>76.39</v>
      </c>
      <c r="F7" s="350" t="n">
        <v>0</v>
      </c>
      <c r="G7" s="55" t="n"/>
      <c r="H7" s="59" t="n"/>
      <c r="I7" s="351" t="n">
        <v>272129200.61</v>
      </c>
      <c r="J7" s="352" t="n">
        <v>628389533.27</v>
      </c>
      <c r="K7" s="353" t="n">
        <f aca="false" ca="false" dt2D="false" dtr="false" t="normal">ROUND(I7/J7*100, 2)</f>
        <v>43.31</v>
      </c>
      <c r="L7" s="354" t="n">
        <v>0</v>
      </c>
    </row>
    <row ht="30" outlineLevel="0" r="8">
      <c r="A8" s="103" t="n">
        <v>604</v>
      </c>
      <c r="B8" s="258" t="s">
        <v>49</v>
      </c>
      <c r="C8" s="348" t="n">
        <v>88071950</v>
      </c>
      <c r="D8" s="348" t="n">
        <v>497875027.79</v>
      </c>
      <c r="E8" s="349" t="n">
        <f aca="false" ca="false" dt2D="false" dtr="false" t="normal">ROUND(C8/D8*100, 2)</f>
        <v>17.69</v>
      </c>
      <c r="F8" s="350" t="n">
        <v>0</v>
      </c>
      <c r="G8" s="55" t="n"/>
      <c r="H8" s="59" t="n"/>
      <c r="I8" s="351" t="n">
        <v>0</v>
      </c>
      <c r="J8" s="352" t="n">
        <v>657326834.84</v>
      </c>
      <c r="K8" s="355" t="n">
        <f aca="false" ca="false" dt2D="false" dtr="false" t="normal">ROUND(I8/J8*100, 2)</f>
        <v>0</v>
      </c>
      <c r="L8" s="354" t="n">
        <v>5</v>
      </c>
    </row>
    <row ht="45" outlineLevel="0" r="9">
      <c r="A9" s="103" t="n">
        <v>605</v>
      </c>
      <c r="B9" s="258" t="s">
        <v>45</v>
      </c>
      <c r="C9" s="348" t="n">
        <v>562813.06</v>
      </c>
      <c r="D9" s="348" t="n">
        <v>6755900.54</v>
      </c>
      <c r="E9" s="349" t="n">
        <f aca="false" ca="false" dt2D="false" dtr="false" t="normal">ROUND(C9/D9*100, 2)</f>
        <v>8.33</v>
      </c>
      <c r="F9" s="350" t="n">
        <v>0</v>
      </c>
      <c r="G9" s="55" t="n"/>
      <c r="H9" s="59" t="n"/>
      <c r="I9" s="351" t="n">
        <v>156845</v>
      </c>
      <c r="J9" s="352" t="n">
        <v>5877791.12</v>
      </c>
      <c r="K9" s="356" t="n">
        <f aca="false" ca="false" dt2D="false" dtr="false" t="normal">ROUND(I9/J9*100, 2)</f>
        <v>2.67</v>
      </c>
      <c r="L9" s="354" t="n">
        <v>2</v>
      </c>
    </row>
    <row ht="30" outlineLevel="0" r="10">
      <c r="A10" s="103" t="n">
        <v>606</v>
      </c>
      <c r="B10" s="258" t="s">
        <v>46</v>
      </c>
      <c r="C10" s="348" t="n">
        <v>2945893123.78</v>
      </c>
      <c r="D10" s="348" t="n">
        <v>2537814915.72</v>
      </c>
      <c r="E10" s="349" t="n">
        <f aca="false" ca="false" dt2D="false" dtr="false" t="normal">ROUND(C10/D10*100, 2)</f>
        <v>116.08</v>
      </c>
      <c r="F10" s="350" t="n">
        <v>0</v>
      </c>
      <c r="G10" s="55" t="n"/>
      <c r="H10" s="59" t="n"/>
      <c r="I10" s="351" t="n">
        <v>250362.68</v>
      </c>
      <c r="J10" s="352" t="n">
        <v>2027355948.54</v>
      </c>
      <c r="K10" s="355" t="n">
        <f aca="false" ca="false" dt2D="false" dtr="false" t="normal">ROUND(I10/J10*100, 2)</f>
        <v>0.01</v>
      </c>
      <c r="L10" s="354" t="n">
        <v>5</v>
      </c>
    </row>
    <row ht="30" outlineLevel="0" r="11">
      <c r="A11" s="103" t="n">
        <v>607</v>
      </c>
      <c r="B11" s="258" t="s">
        <v>50</v>
      </c>
      <c r="C11" s="348" t="n">
        <v>697350</v>
      </c>
      <c r="D11" s="348" t="n">
        <v>213702575.22</v>
      </c>
      <c r="E11" s="349" t="n">
        <f aca="false" ca="false" dt2D="false" dtr="false" t="normal">ROUND(C11/D11*100, 2)</f>
        <v>0.33</v>
      </c>
      <c r="F11" s="350" t="n">
        <v>0</v>
      </c>
      <c r="G11" s="55" t="n"/>
      <c r="H11" s="59" t="n"/>
      <c r="I11" s="351" t="n">
        <v>0</v>
      </c>
      <c r="J11" s="352" t="n">
        <v>35784679.89</v>
      </c>
      <c r="K11" s="355" t="n">
        <f aca="false" ca="false" dt2D="false" dtr="false" t="normal">ROUND(I11/J11*100, 2)</f>
        <v>0</v>
      </c>
      <c r="L11" s="354" t="n">
        <v>5</v>
      </c>
    </row>
    <row ht="45" outlineLevel="0" r="12">
      <c r="A12" s="103" t="n">
        <v>609</v>
      </c>
      <c r="B12" s="258" t="s">
        <v>37</v>
      </c>
      <c r="C12" s="348" t="n">
        <v>3718992049.35</v>
      </c>
      <c r="D12" s="348" t="n">
        <v>3619205947.49</v>
      </c>
      <c r="E12" s="349" t="n">
        <f aca="false" ca="false" dt2D="false" dtr="false" t="normal">ROUND(C12/D12*100, 2)</f>
        <v>102.76</v>
      </c>
      <c r="F12" s="350" t="n">
        <v>0</v>
      </c>
      <c r="G12" s="55" t="n"/>
      <c r="H12" s="59" t="n"/>
      <c r="I12" s="351" t="n">
        <v>0</v>
      </c>
      <c r="J12" s="352" t="n">
        <v>1855384393.6</v>
      </c>
      <c r="K12" s="355" t="n">
        <f aca="false" ca="false" dt2D="false" dtr="false" t="normal">ROUND(I12/J12*100, 2)</f>
        <v>0</v>
      </c>
      <c r="L12" s="354" t="n">
        <v>5</v>
      </c>
    </row>
    <row ht="30" outlineLevel="0" r="13">
      <c r="A13" s="103" t="n">
        <v>611</v>
      </c>
      <c r="B13" s="258" t="s">
        <v>47</v>
      </c>
      <c r="C13" s="350" t="n">
        <v>0</v>
      </c>
      <c r="D13" s="348" t="n">
        <v>51503.44</v>
      </c>
      <c r="E13" s="349" t="n">
        <f aca="false" ca="false" dt2D="false" dtr="false" t="normal">ROUND(C13/D13*100, 2)</f>
        <v>0</v>
      </c>
      <c r="F13" s="350" t="n">
        <v>5</v>
      </c>
      <c r="G13" s="55" t="n"/>
      <c r="H13" s="59" t="n"/>
      <c r="I13" s="351" t="n">
        <v>0</v>
      </c>
      <c r="J13" s="352" t="n">
        <v>6681197.17</v>
      </c>
      <c r="K13" s="355" t="n">
        <f aca="false" ca="false" dt2D="false" dtr="false" t="normal">ROUND(I13/J13*100, 2)</f>
        <v>0</v>
      </c>
      <c r="L13" s="354" t="n">
        <v>5</v>
      </c>
    </row>
    <row ht="30" outlineLevel="0" r="14">
      <c r="A14" s="103" t="n">
        <v>617</v>
      </c>
      <c r="B14" s="258" t="s">
        <v>42</v>
      </c>
      <c r="C14" s="348" t="n">
        <v>8967392.64</v>
      </c>
      <c r="D14" s="348" t="n">
        <v>19110497.24</v>
      </c>
      <c r="E14" s="349" t="n">
        <f aca="false" ca="false" dt2D="false" dtr="false" t="normal">ROUND(C14/D14*100, 2)</f>
        <v>46.92</v>
      </c>
      <c r="F14" s="350" t="n">
        <v>0</v>
      </c>
      <c r="G14" s="55" t="n"/>
      <c r="H14" s="59" t="n"/>
      <c r="I14" s="351" t="n">
        <v>972321.04</v>
      </c>
      <c r="J14" s="352" t="n">
        <v>2713646.12</v>
      </c>
      <c r="K14" s="353" t="n">
        <f aca="false" ca="false" dt2D="false" dtr="false" t="normal">ROUND(I14/J14*100, 2)</f>
        <v>35.83</v>
      </c>
      <c r="L14" s="354" t="n">
        <v>0</v>
      </c>
    </row>
    <row ht="30" outlineLevel="0" r="15">
      <c r="A15" s="103" t="n">
        <v>618</v>
      </c>
      <c r="B15" s="258" t="s">
        <v>38</v>
      </c>
      <c r="C15" s="348" t="n">
        <v>17290720.57</v>
      </c>
      <c r="D15" s="348" t="n">
        <v>9182827.14</v>
      </c>
      <c r="E15" s="349" t="n">
        <f aca="false" ca="false" dt2D="false" dtr="false" t="normal">ROUND(C15/D15*100, 2)</f>
        <v>188.29</v>
      </c>
      <c r="F15" s="350" t="n">
        <v>0</v>
      </c>
      <c r="G15" s="55" t="n"/>
      <c r="H15" s="59" t="n"/>
      <c r="I15" s="351" t="n">
        <v>3281621.85</v>
      </c>
      <c r="J15" s="352" t="n">
        <v>2419917.33</v>
      </c>
      <c r="K15" s="353" t="n">
        <f aca="false" ca="false" dt2D="false" dtr="false" t="normal">ROUND(I15/J15*100, 2)</f>
        <v>135.61</v>
      </c>
      <c r="L15" s="354" t="n">
        <v>0</v>
      </c>
    </row>
    <row ht="30" outlineLevel="0" r="16">
      <c r="A16" s="103" t="n">
        <v>619</v>
      </c>
      <c r="B16" s="258" t="s">
        <v>44</v>
      </c>
      <c r="C16" s="348" t="n">
        <v>33562594.66</v>
      </c>
      <c r="D16" s="348" t="n">
        <v>29127574.34</v>
      </c>
      <c r="E16" s="349" t="n">
        <f aca="false" ca="false" dt2D="false" dtr="false" t="normal">ROUND(C16/D16*100, 2)</f>
        <v>115.23</v>
      </c>
      <c r="F16" s="350" t="n">
        <v>0</v>
      </c>
      <c r="G16" s="55" t="n"/>
      <c r="H16" s="59" t="n"/>
      <c r="I16" s="351" t="n">
        <v>11158644.03</v>
      </c>
      <c r="J16" s="352" t="n">
        <v>5890619.93</v>
      </c>
      <c r="K16" s="353" t="n">
        <f aca="false" ca="false" dt2D="false" dtr="false" t="normal">ROUND(I16/J16*100, 2)</f>
        <v>189.43</v>
      </c>
      <c r="L16" s="354" t="n">
        <v>0</v>
      </c>
    </row>
    <row ht="30" outlineLevel="0" r="17">
      <c r="A17" s="103" t="n">
        <v>620</v>
      </c>
      <c r="B17" s="258" t="s">
        <v>48</v>
      </c>
      <c r="C17" s="348" t="n">
        <v>486131535.2</v>
      </c>
      <c r="D17" s="348" t="n">
        <v>1407365139.21</v>
      </c>
      <c r="E17" s="349" t="n">
        <f aca="false" ca="false" dt2D="false" dtr="false" t="normal">ROUND(C17/D17*100, 2)</f>
        <v>34.54</v>
      </c>
      <c r="F17" s="350" t="n">
        <v>0</v>
      </c>
      <c r="G17" s="55" t="n"/>
      <c r="H17" s="59" t="n"/>
      <c r="I17" s="351" t="n">
        <v>848676.54</v>
      </c>
      <c r="J17" s="352" t="n">
        <v>415932811.35</v>
      </c>
      <c r="K17" s="355" t="n">
        <f aca="false" ca="false" dt2D="false" dtr="false" t="normal">ROUND(I17/J17*100, 2)</f>
        <v>0.2</v>
      </c>
      <c r="L17" s="354" t="n">
        <v>5</v>
      </c>
    </row>
    <row ht="30" outlineLevel="0" r="18">
      <c r="A18" s="103" t="n">
        <v>621</v>
      </c>
      <c r="B18" s="258" t="s">
        <v>54</v>
      </c>
      <c r="C18" s="348" t="n">
        <v>317337874.26</v>
      </c>
      <c r="D18" s="348" t="n">
        <v>1011006218.75</v>
      </c>
      <c r="E18" s="349" t="n">
        <f aca="false" ca="false" dt2D="false" dtr="false" t="normal">ROUND(C18/D18*100, 2)</f>
        <v>31.39</v>
      </c>
      <c r="F18" s="350" t="n">
        <v>0</v>
      </c>
      <c r="G18" s="55" t="n"/>
      <c r="H18" s="59" t="n"/>
      <c r="I18" s="351" t="n">
        <v>20140776.53</v>
      </c>
      <c r="J18" s="352" t="n">
        <v>753503950.99</v>
      </c>
      <c r="K18" s="356" t="n">
        <f aca="false" ca="false" dt2D="false" dtr="false" t="normal">ROUND(I18/J18*100, 2)</f>
        <v>2.67</v>
      </c>
      <c r="L18" s="354" t="n">
        <v>2</v>
      </c>
    </row>
    <row ht="45" outlineLevel="0" r="19">
      <c r="A19" s="103" t="n">
        <v>624</v>
      </c>
      <c r="B19" s="258" t="s">
        <v>40</v>
      </c>
      <c r="C19" s="350" t="n">
        <v>0</v>
      </c>
      <c r="D19" s="348" t="n">
        <v>1619327.29</v>
      </c>
      <c r="E19" s="349" t="n">
        <f aca="false" ca="false" dt2D="false" dtr="false" t="normal">ROUND(C19/D19*100, 2)</f>
        <v>0</v>
      </c>
      <c r="F19" s="350" t="n">
        <v>2</v>
      </c>
      <c r="G19" s="55" t="n"/>
      <c r="H19" s="59" t="n"/>
      <c r="I19" s="351" t="n">
        <v>7766</v>
      </c>
      <c r="J19" s="352" t="n">
        <v>1601702.61</v>
      </c>
      <c r="K19" s="355" t="n">
        <f aca="false" ca="false" dt2D="false" dtr="false" t="normal">ROUND(I19/J19*100, 2)</f>
        <v>0.48</v>
      </c>
      <c r="L19" s="354" t="n">
        <v>5</v>
      </c>
    </row>
    <row outlineLevel="0" r="20">
      <c r="A20" s="103" t="n">
        <v>600</v>
      </c>
      <c r="B20" s="258" t="s">
        <v>51</v>
      </c>
      <c r="C20" s="350" t="n">
        <v>0</v>
      </c>
      <c r="D20" s="348" t="n">
        <v>4733.91</v>
      </c>
      <c r="E20" s="349" t="n">
        <f aca="false" ca="false" dt2D="false" dtr="false" t="normal">ROUND(C20/D20*100, 2)</f>
        <v>0</v>
      </c>
      <c r="F20" s="350" t="n">
        <v>5</v>
      </c>
      <c r="H20" s="59" t="n"/>
      <c r="I20" s="319" t="n"/>
      <c r="J20" s="357" t="n"/>
      <c r="K20" s="358" t="n"/>
      <c r="L20" s="359" t="n"/>
    </row>
    <row ht="30" outlineLevel="0" r="21">
      <c r="A21" s="103" t="n">
        <v>643</v>
      </c>
      <c r="B21" s="258" t="s">
        <v>52</v>
      </c>
      <c r="C21" s="350" t="n">
        <v>0</v>
      </c>
      <c r="D21" s="348" t="n">
        <v>217928.51</v>
      </c>
      <c r="E21" s="349" t="n">
        <f aca="false" ca="false" dt2D="false" dtr="false" t="normal">ROUND(C21/D21*100, 2)</f>
        <v>0</v>
      </c>
      <c r="F21" s="350" t="n">
        <v>5</v>
      </c>
      <c r="H21" s="59" t="n"/>
      <c r="I21" s="319" t="n"/>
      <c r="J21" s="357" t="n"/>
      <c r="K21" s="358" t="n"/>
      <c r="L21" s="359" t="n"/>
    </row>
    <row outlineLevel="0" r="22">
      <c r="A22" s="238" t="n"/>
      <c r="B22" s="279" t="n"/>
      <c r="C22" s="360" t="n"/>
      <c r="D22" s="361" t="n"/>
      <c r="E22" s="362" t="n"/>
      <c r="F22" s="363" t="n"/>
      <c r="H22" s="59" t="n"/>
    </row>
    <row outlineLevel="0" r="23">
      <c r="A23" s="238" t="n"/>
      <c r="B23" s="279" t="s">
        <v>23</v>
      </c>
      <c r="C23" s="360" t="n"/>
      <c r="D23" s="364" t="n"/>
      <c r="E23" s="281" t="n">
        <f aca="false" ca="true" dt2D="false" dtr="false" t="normal">SUBTOTAL(9, E6:E21)</f>
        <v>951.8499999999999</v>
      </c>
      <c r="F23" s="363" t="n"/>
      <c r="H23" s="59" t="n"/>
    </row>
    <row outlineLevel="0" r="24">
      <c r="A24" s="238" t="n"/>
      <c r="B24" s="282" t="s">
        <v>24</v>
      </c>
      <c r="C24" s="360" t="n"/>
      <c r="D24" s="364" t="n"/>
      <c r="E24" s="283" t="n">
        <f aca="false" ca="false" dt2D="false" dtr="false" t="normal">ROUND(E23/16, 2)</f>
        <v>59.489999999999995</v>
      </c>
      <c r="F24" s="363" t="n"/>
      <c r="H24" s="59" t="n"/>
    </row>
    <row outlineLevel="0" r="25">
      <c r="C25" s="365" t="n">
        <f aca="false" ca="false" dt2D="false" dtr="false" t="normal">SUM(C6:C21)</f>
        <v>8212143414.309999</v>
      </c>
      <c r="D25" s="365" t="n">
        <f aca="false" ca="false" dt2D="false" dtr="false" t="normal">SUM(D6:D21)</f>
        <v>10105812228.62</v>
      </c>
      <c r="E25" s="158" t="n"/>
      <c r="F25" s="158" t="n"/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3"/>
  <sheetViews>
    <sheetView showZeros="true" workbookViewId="0"/>
  </sheetViews>
  <sheetFormatPr baseColWidth="8" customHeight="false" defaultColWidth="9.14062530925693" defaultRowHeight="15" zeroHeight="false"/>
  <cols>
    <col bestFit="true" customWidth="true" max="1" min="1" outlineLevel="0" style="1" width="9.14062530925693"/>
    <col customWidth="true" max="2" min="2" outlineLevel="0" style="3" width="7.14062497092456"/>
    <col customWidth="true" max="3" min="3" outlineLevel="0" style="52" width="8.42578112907261"/>
    <col customWidth="true" max="4" min="4" outlineLevel="0" style="3" width="50.855468305278"/>
    <col customWidth="true" max="5" min="5" outlineLevel="0" style="4" width="15.0000005074985"/>
    <col bestFit="true" customWidth="true" hidden="true" max="8" min="6" outlineLevel="0" style="1" width="9.14062530925693"/>
    <col bestFit="true" customWidth="true" max="16384" min="9" outlineLevel="0" style="1" width="9.14062530925693"/>
  </cols>
  <sheetData>
    <row ht="18.75" outlineLevel="0" r="1">
      <c r="B1" s="6" t="s">
        <v>29</v>
      </c>
      <c r="C1" s="6" t="s"/>
      <c r="D1" s="6" t="s"/>
      <c r="E1" s="6" t="s"/>
    </row>
    <row ht="18.75" outlineLevel="0" r="2">
      <c r="B2" s="6" t="s">
        <v>30</v>
      </c>
      <c r="C2" s="6" t="s"/>
      <c r="D2" s="6" t="s"/>
      <c r="E2" s="6" t="s"/>
    </row>
    <row ht="18.75" outlineLevel="0" r="3">
      <c r="B3" s="6" t="s">
        <v>31</v>
      </c>
      <c r="C3" s="6" t="s"/>
      <c r="D3" s="6" t="s"/>
      <c r="E3" s="6" t="s"/>
    </row>
    <row ht="18.75" outlineLevel="0" r="4">
      <c r="B4" s="6" t="s">
        <v>32</v>
      </c>
      <c r="C4" s="6" t="s"/>
      <c r="D4" s="6" t="s"/>
      <c r="E4" s="6" t="s"/>
    </row>
    <row ht="18.75" outlineLevel="0" r="5">
      <c r="B5" s="6" t="s">
        <v>33</v>
      </c>
      <c r="C5" s="6" t="s"/>
      <c r="D5" s="6" t="s"/>
      <c r="E5" s="6" t="s"/>
    </row>
    <row customHeight="true" ht="52.5" outlineLevel="0" r="7">
      <c r="B7" s="53" t="s">
        <v>34</v>
      </c>
      <c r="C7" s="53" t="s">
        <v>35</v>
      </c>
      <c r="D7" s="53" t="s">
        <v>2</v>
      </c>
      <c r="E7" s="54" t="s">
        <v>36</v>
      </c>
    </row>
    <row customFormat="true" ht="30" outlineLevel="0" r="8" s="14">
      <c r="A8" s="21" t="n">
        <v>609</v>
      </c>
      <c r="B8" s="55" t="n">
        <v>1</v>
      </c>
      <c r="C8" s="21" t="n">
        <v>609</v>
      </c>
      <c r="D8" s="21" t="s">
        <v>37</v>
      </c>
      <c r="E8" s="56" t="n">
        <f aca="false" ca="false" dt2D="false" dtr="false" t="normal">VLOOKUP($F8, 'Итоги по ГРБС 2022'!$B:$E, 3, 0)</f>
        <v>4.42</v>
      </c>
      <c r="F8" s="21" t="n">
        <v>609</v>
      </c>
      <c r="G8" s="55" t="n">
        <v>1</v>
      </c>
      <c r="H8" s="14" t="n">
        <v>0</v>
      </c>
    </row>
    <row ht="30" outlineLevel="0" r="9">
      <c r="A9" s="21" t="n">
        <v>618</v>
      </c>
      <c r="B9" s="55" t="n">
        <v>2</v>
      </c>
      <c r="C9" s="21" t="n">
        <v>618</v>
      </c>
      <c r="D9" s="21" t="s">
        <v>38</v>
      </c>
      <c r="E9" s="56" t="n">
        <f aca="false" ca="false" dt2D="false" dtr="false" t="normal">VLOOKUP($F9, 'Итоги по ГРБС 2022'!$B:$E, 3, 0)</f>
        <v>4.08</v>
      </c>
      <c r="F9" s="21" t="n">
        <v>618</v>
      </c>
      <c r="G9" s="55" t="n">
        <v>11</v>
      </c>
      <c r="H9" s="1" t="s">
        <v>39</v>
      </c>
    </row>
    <row ht="45" outlineLevel="0" r="10">
      <c r="A10" s="21" t="n">
        <v>624</v>
      </c>
      <c r="B10" s="55" t="n">
        <v>3</v>
      </c>
      <c r="C10" s="21" t="n">
        <v>624</v>
      </c>
      <c r="D10" s="21" t="s">
        <v>40</v>
      </c>
      <c r="E10" s="56" t="n">
        <f aca="false" ca="false" dt2D="false" dtr="false" t="normal">VLOOKUP($F10, 'Итоги по ГРБС 2022'!$B:$E, 3, 0)</f>
        <v>3.79</v>
      </c>
      <c r="F10" s="57" t="n">
        <v>624</v>
      </c>
      <c r="G10" s="55" t="n">
        <v>9</v>
      </c>
      <c r="H10" s="1" t="s">
        <v>41</v>
      </c>
    </row>
    <row ht="30" outlineLevel="0" r="11">
      <c r="A11" s="21" t="n">
        <v>617</v>
      </c>
      <c r="B11" s="55" t="n">
        <v>4</v>
      </c>
      <c r="C11" s="21" t="n">
        <v>617</v>
      </c>
      <c r="D11" s="21" t="s">
        <v>42</v>
      </c>
      <c r="E11" s="56" t="n">
        <f aca="false" ca="false" dt2D="false" dtr="false" t="normal">VLOOKUP($F11, 'Итоги по ГРБС 2022'!$B:$E, 3, 0)</f>
        <v>3.7600000000000002</v>
      </c>
      <c r="F11" s="21" t="n">
        <v>617</v>
      </c>
      <c r="G11" s="55" t="n">
        <v>14</v>
      </c>
      <c r="H11" s="1" t="s">
        <v>43</v>
      </c>
    </row>
    <row outlineLevel="0" r="12">
      <c r="A12" s="21" t="n">
        <v>601</v>
      </c>
      <c r="B12" s="55" t="n">
        <v>5</v>
      </c>
      <c r="C12" s="21" t="n">
        <v>601</v>
      </c>
      <c r="D12" s="21" t="s">
        <v>13</v>
      </c>
      <c r="E12" s="56" t="n">
        <f aca="false" ca="false" dt2D="false" dtr="false" t="normal">VLOOKUP($F12, 'Итоги по ГРБС 2022'!$B:$E, 3, 0)</f>
        <v>3.7600000000000002</v>
      </c>
      <c r="F12" s="21" t="n">
        <v>601</v>
      </c>
      <c r="G12" s="55" t="n">
        <v>5</v>
      </c>
      <c r="H12" s="1" t="n">
        <v>0</v>
      </c>
    </row>
    <row ht="30" outlineLevel="0" r="13">
      <c r="A13" s="21" t="n">
        <v>619</v>
      </c>
      <c r="B13" s="55" t="n">
        <v>6</v>
      </c>
      <c r="C13" s="21" t="n">
        <v>619</v>
      </c>
      <c r="D13" s="21" t="s">
        <v>44</v>
      </c>
      <c r="E13" s="56" t="n">
        <f aca="false" ca="false" dt2D="false" dtr="false" t="normal">VLOOKUP($F13, 'Итоги по ГРБС 2022'!$B:$E, 3, 0)</f>
        <v>3.7199999999999998</v>
      </c>
      <c r="F13" s="57" t="n">
        <v>619</v>
      </c>
      <c r="G13" s="55" t="n">
        <v>12</v>
      </c>
      <c r="H13" s="1" t="s">
        <v>41</v>
      </c>
    </row>
    <row ht="30" outlineLevel="0" r="14">
      <c r="A14" s="21" t="n">
        <v>605</v>
      </c>
      <c r="B14" s="55" t="n">
        <v>7</v>
      </c>
      <c r="C14" s="21" t="n">
        <v>605</v>
      </c>
      <c r="D14" s="21" t="s">
        <v>45</v>
      </c>
      <c r="E14" s="56" t="n">
        <f aca="false" ca="false" dt2D="false" dtr="false" t="normal">VLOOKUP($F14, 'Итоги по ГРБС 2022'!$B:$E, 3, 0)</f>
        <v>3.6799999999999997</v>
      </c>
      <c r="F14" s="21" t="n">
        <v>605</v>
      </c>
      <c r="G14" s="55" t="n">
        <v>13</v>
      </c>
      <c r="H14" s="1" t="s">
        <v>39</v>
      </c>
    </row>
    <row ht="30" outlineLevel="0" r="15">
      <c r="A15" s="21" t="n">
        <v>606</v>
      </c>
      <c r="B15" s="55" t="n">
        <v>8</v>
      </c>
      <c r="C15" s="21" t="n">
        <v>606</v>
      </c>
      <c r="D15" s="21" t="s">
        <v>46</v>
      </c>
      <c r="E15" s="56" t="n">
        <f aca="false" ca="false" dt2D="false" dtr="false" t="normal">VLOOKUP($F15, 'Итоги по ГРБС 2022'!$B:$E, 3, 0)</f>
        <v>3.6399999999999997</v>
      </c>
      <c r="F15" s="21" t="n">
        <v>606</v>
      </c>
      <c r="G15" s="55" t="n">
        <v>2</v>
      </c>
      <c r="H15" s="1" t="s">
        <v>41</v>
      </c>
    </row>
    <row ht="30" outlineLevel="0" r="16">
      <c r="A16" s="21" t="n">
        <v>611</v>
      </c>
      <c r="B16" s="55" t="n">
        <v>9</v>
      </c>
      <c r="C16" s="21" t="n">
        <v>611</v>
      </c>
      <c r="D16" s="21" t="s">
        <v>47</v>
      </c>
      <c r="E16" s="56" t="n">
        <f aca="false" ca="false" dt2D="false" dtr="false" t="normal">VLOOKUP($F16, 'Итоги по ГРБС 2022'!$B:$E, 3, 0)</f>
        <v>3.59</v>
      </c>
      <c r="F16" s="21" t="n">
        <v>611</v>
      </c>
      <c r="G16" s="55" t="n">
        <v>3</v>
      </c>
      <c r="H16" s="1" t="s">
        <v>41</v>
      </c>
    </row>
    <row ht="30" outlineLevel="0" r="17">
      <c r="A17" s="21" t="n">
        <v>620</v>
      </c>
      <c r="B17" s="55" t="n">
        <v>10</v>
      </c>
      <c r="C17" s="21" t="n">
        <v>620</v>
      </c>
      <c r="D17" s="21" t="s">
        <v>48</v>
      </c>
      <c r="E17" s="56" t="n">
        <f aca="false" ca="false" dt2D="false" dtr="false" t="normal">VLOOKUP($F17, 'Итоги по ГРБС 2022'!$B:$E, 3, 0)</f>
        <v>3.5799999999999996</v>
      </c>
      <c r="F17" s="21" t="n">
        <v>620</v>
      </c>
      <c r="G17" s="55" t="n">
        <v>7</v>
      </c>
      <c r="H17" s="1" t="n">
        <v>0</v>
      </c>
    </row>
    <row ht="30" outlineLevel="0" r="18">
      <c r="A18" s="21" t="n">
        <v>604</v>
      </c>
      <c r="B18" s="55" t="n">
        <v>11</v>
      </c>
      <c r="C18" s="21" t="n">
        <v>604</v>
      </c>
      <c r="D18" s="21" t="s">
        <v>49</v>
      </c>
      <c r="E18" s="56" t="n">
        <f aca="false" ca="false" dt2D="false" dtr="false" t="normal">VLOOKUP($F18, 'Итоги по ГРБС 2022'!$B:$E, 3, 0)</f>
        <v>3.55</v>
      </c>
      <c r="F18" s="21" t="n">
        <v>604</v>
      </c>
      <c r="G18" s="55" t="n">
        <v>6</v>
      </c>
      <c r="H18" s="1" t="s">
        <v>39</v>
      </c>
    </row>
    <row ht="30" outlineLevel="0" r="19">
      <c r="A19" s="21" t="n">
        <v>607</v>
      </c>
      <c r="B19" s="55" t="n">
        <v>12</v>
      </c>
      <c r="C19" s="21" t="n">
        <v>607</v>
      </c>
      <c r="D19" s="21" t="s">
        <v>50</v>
      </c>
      <c r="E19" s="56" t="n">
        <f aca="false" ca="false" dt2D="false" dtr="false" t="normal">VLOOKUP($F19, 'Итоги по ГРБС 2022'!$B:$E, 3, 0)</f>
        <v>3.51</v>
      </c>
      <c r="F19" s="21" t="n">
        <v>607</v>
      </c>
      <c r="G19" s="55" t="n">
        <v>4</v>
      </c>
      <c r="H19" s="1" t="s">
        <v>41</v>
      </c>
    </row>
    <row outlineLevel="0" r="20">
      <c r="A20" s="21" t="n">
        <v>600</v>
      </c>
      <c r="B20" s="55" t="n">
        <v>13</v>
      </c>
      <c r="C20" s="21" t="n">
        <v>600</v>
      </c>
      <c r="D20" s="21" t="s">
        <v>51</v>
      </c>
      <c r="E20" s="56" t="n">
        <f aca="false" ca="false" dt2D="false" dtr="false" t="normal">VLOOKUP($F20, 'Итоги по ГРБС 2022'!$B:$E, 3, 0)</f>
        <v>3.32</v>
      </c>
      <c r="F20" s="21" t="n">
        <v>600</v>
      </c>
      <c r="G20" s="55" t="n">
        <v>10</v>
      </c>
      <c r="H20" s="1" t="n">
        <v>0</v>
      </c>
    </row>
    <row outlineLevel="0" r="21">
      <c r="A21" s="21" t="n">
        <v>643</v>
      </c>
      <c r="B21" s="55" t="n">
        <v>14</v>
      </c>
      <c r="C21" s="21" t="n">
        <v>643</v>
      </c>
      <c r="D21" s="21" t="s">
        <v>52</v>
      </c>
      <c r="E21" s="56" t="n">
        <f aca="false" ca="false" dt2D="false" dtr="false" t="normal">VLOOKUP($F21, 'Итоги по ГРБС 2022'!$B:$E, 3, 0)</f>
        <v>3.22</v>
      </c>
      <c r="F21" s="21" t="n">
        <v>643</v>
      </c>
      <c r="G21" s="55" t="n">
        <v>8</v>
      </c>
      <c r="H21" s="1" t="s">
        <v>39</v>
      </c>
    </row>
    <row ht="30" outlineLevel="0" r="22">
      <c r="A22" s="21" t="n">
        <v>602</v>
      </c>
      <c r="B22" s="55" t="n">
        <v>15</v>
      </c>
      <c r="C22" s="21" t="n">
        <v>602</v>
      </c>
      <c r="D22" s="58" t="s">
        <v>53</v>
      </c>
      <c r="E22" s="56" t="n">
        <f aca="false" ca="false" dt2D="false" dtr="false" t="normal">VLOOKUP($F22, 'Итоги по ГРБС 2022'!$B:$E, 3, 0)</f>
        <v>3.0500000000000003</v>
      </c>
      <c r="F22" s="58" t="n">
        <v>602</v>
      </c>
      <c r="G22" s="55" t="n">
        <v>15</v>
      </c>
      <c r="H22" s="1" t="s">
        <v>39</v>
      </c>
    </row>
    <row ht="30" outlineLevel="0" r="23">
      <c r="A23" s="21" t="n">
        <v>621</v>
      </c>
      <c r="B23" s="55" t="n">
        <v>16</v>
      </c>
      <c r="C23" s="21" t="n">
        <v>621</v>
      </c>
      <c r="D23" s="21" t="s">
        <v>54</v>
      </c>
      <c r="E23" s="56" t="n">
        <f aca="false" ca="false" dt2D="false" dtr="false" t="normal">VLOOKUP($F23, 'Итоги по ГРБС 2022'!$B:$E, 3, 0)</f>
        <v>2.17</v>
      </c>
      <c r="F23" s="21" t="n">
        <v>621</v>
      </c>
      <c r="G23" s="55" t="n">
        <v>16</v>
      </c>
      <c r="H23" s="1" t="s">
        <v>39</v>
      </c>
    </row>
    <row outlineLevel="0" r="26">
      <c r="D26" s="57" t="s">
        <v>23</v>
      </c>
      <c r="E26" s="59" t="n">
        <f aca="false" ca="true" dt2D="false" dtr="false" t="normal">SUBTOTAL(9, E8:E23)</f>
        <v>56.83999999999999</v>
      </c>
    </row>
    <row outlineLevel="0" r="27">
      <c r="D27" s="60" t="s">
        <v>24</v>
      </c>
      <c r="E27" s="61" t="n">
        <f aca="false" ca="false" dt2D="false" dtr="false" t="normal">ROUND(E26/14, 2)</f>
        <v>4.06</v>
      </c>
    </row>
    <row hidden="true" ht="15" outlineLevel="0" r="28"/>
    <row hidden="true" ht="15.75" outlineLevel="0" r="29">
      <c r="D29" s="62" t="s">
        <v>25</v>
      </c>
      <c r="E29" s="63" t="n"/>
    </row>
    <row hidden="true" ht="15.75" outlineLevel="0" r="30">
      <c r="D30" s="62" t="s">
        <v>26</v>
      </c>
      <c r="E30" s="64" t="n"/>
    </row>
    <row hidden="true" ht="15.75" outlineLevel="0" r="31">
      <c r="D31" s="62" t="s">
        <v>27</v>
      </c>
      <c r="E31" s="65" t="n"/>
    </row>
    <row hidden="true" ht="15.75" outlineLevel="0" r="32">
      <c r="D32" s="62" t="s">
        <v>28</v>
      </c>
      <c r="E32" s="66" t="n"/>
    </row>
    <row outlineLevel="0" r="33">
      <c r="G33" s="1" t="s">
        <v>43</v>
      </c>
      <c r="H33" s="1" t="n">
        <v>7</v>
      </c>
      <c r="I33" s="1" t="n">
        <f aca="false" ca="false" dt2D="false" dtr="false" t="normal">H33*100/16</f>
        <v>43.75</v>
      </c>
    </row>
  </sheetData>
  <mergeCells count="5">
    <mergeCell ref="B1:E1"/>
    <mergeCell ref="B2:E2"/>
    <mergeCell ref="B3:E3"/>
    <mergeCell ref="B4:E4"/>
    <mergeCell ref="B5:E5"/>
  </mergeCells>
  <pageMargins bottom="0.196850389242172" footer="0.15748031437397" header="0.15748031437397" left="1.01999998092651" right="0.196850389242172" top="0.354330688714981"/>
  <pageSetup fitToHeight="0" fitToWidth="0" orientation="portrait" paperHeight="297mm" paperSize="9" paperWidth="210mm" scale="100"/>
</worksheet>
</file>

<file path=xl/worksheets/sheet2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3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0.2851566656466"/>
    <col customWidth="true" max="4" min="4" outlineLevel="0" style="3" width="23.5703138387917"/>
    <col customWidth="true" max="5" min="5" outlineLevel="0" style="3" width="19.570313162127"/>
    <col customWidth="true" max="6" min="6" outlineLevel="0" style="3" width="13.1406246325922"/>
    <col bestFit="true" customWidth="true" max="7" min="7" outlineLevel="0" style="3" width="9.14062530925693"/>
    <col bestFit="true" customWidth="true" max="8" min="8" outlineLevel="0" style="3" width="15.7109369488883"/>
    <col bestFit="true" customWidth="true" max="9" min="9" outlineLevel="0" style="3" width="11.8554691511089"/>
    <col bestFit="true" customWidth="true" max="12" min="10" outlineLevel="0" style="3" width="9.14062530925693"/>
    <col bestFit="true" customWidth="true" max="13" min="13" outlineLevel="0" style="3" width="11.8554691511089"/>
    <col bestFit="true" customWidth="true" max="16384" min="14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</row>
    <row ht="19.5" outlineLevel="0" r="2">
      <c r="A2" s="199" t="s">
        <v>202</v>
      </c>
      <c r="B2" s="199" t="s"/>
      <c r="C2" s="199" t="s"/>
      <c r="D2" s="199" t="s"/>
      <c r="E2" s="199" t="s"/>
      <c r="F2" s="199" t="s"/>
    </row>
    <row ht="120" outlineLevel="0" r="5">
      <c r="A5" s="53" t="s">
        <v>35</v>
      </c>
      <c r="B5" s="53" t="s">
        <v>2</v>
      </c>
      <c r="C5" s="248" t="s">
        <v>203</v>
      </c>
      <c r="D5" s="248" t="s">
        <v>204</v>
      </c>
      <c r="E5" s="53" t="s">
        <v>205</v>
      </c>
      <c r="F5" s="53" t="s">
        <v>140</v>
      </c>
    </row>
    <row outlineLevel="0" r="6">
      <c r="A6" s="236" t="n">
        <v>601</v>
      </c>
      <c r="B6" s="255" t="s">
        <v>13</v>
      </c>
      <c r="C6" s="285" t="n">
        <v>950556.51</v>
      </c>
      <c r="D6" s="285" t="n">
        <v>234033.4</v>
      </c>
      <c r="E6" s="366" t="n">
        <f aca="false" ca="false" dt2D="false" dtr="false" t="normal">ROUND((C6-D6)/C6*100, 2)</f>
        <v>75.38</v>
      </c>
      <c r="F6" s="219" t="n">
        <v>5</v>
      </c>
      <c r="H6" s="286" t="n">
        <v>102897.4</v>
      </c>
      <c r="I6" s="4" t="n">
        <v>510781.72</v>
      </c>
      <c r="J6" s="154" t="n">
        <v>0</v>
      </c>
      <c r="K6" s="55" t="n">
        <v>0</v>
      </c>
      <c r="L6" s="59" t="n">
        <f aca="false" ca="false" dt2D="false" dtr="false" t="normal">F6-K6</f>
        <v>5</v>
      </c>
    </row>
    <row ht="30" outlineLevel="0" r="7">
      <c r="A7" s="212" t="n">
        <v>602</v>
      </c>
      <c r="B7" s="258" t="s">
        <v>53</v>
      </c>
      <c r="C7" s="285" t="n">
        <v>63167.88</v>
      </c>
      <c r="D7" s="285" t="n">
        <v>39142.44</v>
      </c>
      <c r="E7" s="366" t="n">
        <f aca="false" ca="false" dt2D="false" dtr="false" t="normal">ROUND((C7-D7)/C7*100, 2)</f>
        <v>38.03</v>
      </c>
      <c r="F7" s="219" t="n">
        <v>5</v>
      </c>
      <c r="H7" s="286" t="n">
        <v>134549.01</v>
      </c>
      <c r="I7" s="4" t="n">
        <v>165511.87</v>
      </c>
      <c r="J7" s="154" t="n">
        <v>0</v>
      </c>
      <c r="K7" s="55" t="n">
        <v>0</v>
      </c>
      <c r="L7" s="59" t="n">
        <f aca="false" ca="false" dt2D="false" dtr="false" t="normal">F7-K7</f>
        <v>5</v>
      </c>
      <c r="M7" s="4" t="n"/>
    </row>
    <row ht="30" outlineLevel="0" r="8">
      <c r="A8" s="212" t="n">
        <v>604</v>
      </c>
      <c r="B8" s="258" t="s">
        <v>49</v>
      </c>
      <c r="C8" s="285" t="n">
        <v>76580.75</v>
      </c>
      <c r="D8" s="285" t="n">
        <v>30945.07</v>
      </c>
      <c r="E8" s="366" t="n">
        <f aca="false" ca="false" dt2D="false" dtr="false" t="normal">ROUND((C8-D8)/C8*100, 2)</f>
        <v>59.59</v>
      </c>
      <c r="F8" s="219" t="n">
        <v>1</v>
      </c>
      <c r="H8" s="286" t="n">
        <v>138785.45</v>
      </c>
      <c r="I8" s="4" t="n">
        <v>85013.55</v>
      </c>
      <c r="J8" s="154" t="n">
        <v>38.74</v>
      </c>
      <c r="K8" s="55" t="n">
        <v>3</v>
      </c>
      <c r="L8" s="59" t="n">
        <f aca="false" ca="false" dt2D="false" dtr="false" t="normal">F8-K8</f>
        <v>-2</v>
      </c>
    </row>
    <row ht="45" outlineLevel="0" r="9">
      <c r="A9" s="212" t="n">
        <v>605</v>
      </c>
      <c r="B9" s="258" t="s">
        <v>45</v>
      </c>
      <c r="C9" s="285" t="n">
        <v>14464</v>
      </c>
      <c r="D9" s="285" t="n">
        <v>30976</v>
      </c>
      <c r="E9" s="366" t="n">
        <f aca="false" ca="false" dt2D="false" dtr="false" t="normal">ROUND((C9-D9)/C9*100, 2)</f>
        <v>-114.16</v>
      </c>
      <c r="F9" s="219" t="n">
        <v>1</v>
      </c>
      <c r="H9" s="286" t="n">
        <v>11790.56</v>
      </c>
      <c r="I9" s="4" t="n">
        <v>5040</v>
      </c>
      <c r="J9" s="154" t="n">
        <v>57.25</v>
      </c>
      <c r="K9" s="55" t="n">
        <v>5</v>
      </c>
      <c r="L9" s="59" t="n">
        <f aca="false" ca="false" dt2D="false" dtr="false" t="normal">F9-K9</f>
        <v>-4</v>
      </c>
    </row>
    <row ht="30" outlineLevel="0" r="10">
      <c r="A10" s="212" t="n">
        <v>606</v>
      </c>
      <c r="B10" s="258" t="s">
        <v>46</v>
      </c>
      <c r="C10" s="285" t="n">
        <v>140752.9</v>
      </c>
      <c r="D10" s="285" t="n">
        <v>109527.56</v>
      </c>
      <c r="E10" s="366" t="n">
        <f aca="false" ca="false" dt2D="false" dtr="false" t="normal">ROUND((C10-D10)/C10*100, 2)</f>
        <v>22.18</v>
      </c>
      <c r="F10" s="219" t="n">
        <v>2</v>
      </c>
      <c r="H10" s="286" t="n">
        <v>109658.81</v>
      </c>
      <c r="I10" s="4" t="n">
        <v>351575.72</v>
      </c>
      <c r="J10" s="154" t="n">
        <v>0</v>
      </c>
      <c r="K10" s="55" t="n">
        <v>0</v>
      </c>
      <c r="L10" s="59" t="n">
        <f aca="false" ca="false" dt2D="false" dtr="false" t="normal">F10-K10</f>
        <v>2</v>
      </c>
    </row>
    <row ht="30" outlineLevel="0" r="11">
      <c r="A11" s="212" t="n">
        <v>607</v>
      </c>
      <c r="B11" s="258" t="s">
        <v>50</v>
      </c>
      <c r="C11" s="285" t="n">
        <v>250112.88</v>
      </c>
      <c r="D11" s="285" t="n">
        <v>4620</v>
      </c>
      <c r="E11" s="366" t="n">
        <f aca="false" ca="false" dt2D="false" dtr="false" t="normal">ROUND((C11-D11)/C11*100, 2)</f>
        <v>98.15</v>
      </c>
      <c r="F11" s="219" t="n">
        <v>5</v>
      </c>
      <c r="H11" s="286" t="n">
        <v>62394.57</v>
      </c>
      <c r="I11" s="4" t="n">
        <v>20986.74</v>
      </c>
      <c r="J11" s="154" t="n">
        <v>66.36</v>
      </c>
      <c r="K11" s="55" t="n">
        <v>5</v>
      </c>
      <c r="L11" s="59" t="n">
        <f aca="false" ca="false" dt2D="false" dtr="false" t="normal">F11-K11</f>
        <v>0</v>
      </c>
    </row>
    <row ht="45" outlineLevel="0" r="12">
      <c r="A12" s="212" t="n">
        <v>609</v>
      </c>
      <c r="B12" s="258" t="s">
        <v>37</v>
      </c>
      <c r="C12" s="285" t="n">
        <v>3536.18</v>
      </c>
      <c r="D12" s="285" t="n">
        <v>3349.97</v>
      </c>
      <c r="E12" s="366" t="n">
        <f aca="false" ca="false" dt2D="false" dtr="false" t="normal">ROUND((C12-D12)/C12*100, 2)</f>
        <v>5.27</v>
      </c>
      <c r="F12" s="219" t="n">
        <v>0</v>
      </c>
      <c r="H12" s="286" t="n">
        <v>3459.27</v>
      </c>
      <c r="I12" s="4" t="n">
        <v>0</v>
      </c>
      <c r="J12" s="154" t="n">
        <v>100</v>
      </c>
      <c r="K12" s="55" t="n">
        <v>5</v>
      </c>
      <c r="L12" s="59" t="n">
        <f aca="false" ca="false" dt2D="false" dtr="false" t="normal">F12-K12</f>
        <v>-5</v>
      </c>
    </row>
    <row ht="30" outlineLevel="0" r="13">
      <c r="A13" s="212" t="n">
        <v>611</v>
      </c>
      <c r="B13" s="258" t="s">
        <v>47</v>
      </c>
      <c r="C13" s="285" t="n">
        <v>5431.5</v>
      </c>
      <c r="D13" s="285" t="n">
        <v>112700</v>
      </c>
      <c r="E13" s="366" t="n">
        <f aca="false" ca="false" dt2D="false" dtr="false" t="normal">ROUND((C13-D13)/C13*100, 2)</f>
        <v>-1974.93</v>
      </c>
      <c r="F13" s="219" t="n">
        <v>0</v>
      </c>
      <c r="H13" s="286" t="n">
        <v>5019823.22</v>
      </c>
      <c r="I13" s="4" t="n">
        <v>575659.11</v>
      </c>
      <c r="J13" s="154" t="n">
        <v>88.53</v>
      </c>
      <c r="K13" s="55" t="n">
        <v>5</v>
      </c>
      <c r="L13" s="59" t="n">
        <f aca="false" ca="false" dt2D="false" dtr="false" t="normal">F13-K13</f>
        <v>-5</v>
      </c>
    </row>
    <row ht="30" outlineLevel="0" r="14">
      <c r="A14" s="212" t="n">
        <v>617</v>
      </c>
      <c r="B14" s="258" t="s">
        <v>42</v>
      </c>
      <c r="C14" s="285" t="n">
        <v>158470.25</v>
      </c>
      <c r="D14" s="285" t="n">
        <v>116428.55</v>
      </c>
      <c r="E14" s="366" t="n">
        <f aca="false" ca="false" dt2D="false" dtr="false" t="normal">ROUND((C14-D14)/C14*100, 2)</f>
        <v>26.53</v>
      </c>
      <c r="F14" s="219" t="n">
        <v>0</v>
      </c>
      <c r="H14" s="286" t="n">
        <v>73891.19</v>
      </c>
      <c r="I14" s="4" t="n">
        <v>32940</v>
      </c>
      <c r="J14" s="154" t="n">
        <v>55.42</v>
      </c>
      <c r="K14" s="55" t="n">
        <v>5</v>
      </c>
      <c r="L14" s="59" t="n">
        <f aca="false" ca="false" dt2D="false" dtr="false" t="normal">F14-K14</f>
        <v>-5</v>
      </c>
    </row>
    <row ht="30" outlineLevel="0" r="15">
      <c r="A15" s="212" t="n">
        <v>618</v>
      </c>
      <c r="B15" s="258" t="s">
        <v>38</v>
      </c>
      <c r="C15" s="285" t="n">
        <v>16480.61</v>
      </c>
      <c r="D15" s="285" t="n">
        <v>3618.17</v>
      </c>
      <c r="E15" s="366" t="n">
        <f aca="false" ca="false" dt2D="false" dtr="false" t="normal">ROUND((C15-D15)/C15*100, 2)</f>
        <v>78.05</v>
      </c>
      <c r="F15" s="219" t="n">
        <v>0</v>
      </c>
      <c r="H15" s="286" t="n">
        <v>54724.11</v>
      </c>
      <c r="I15" s="4" t="n">
        <v>78595.24</v>
      </c>
      <c r="J15" s="154" t="n">
        <v>0</v>
      </c>
      <c r="K15" s="55" t="n">
        <v>0</v>
      </c>
      <c r="L15" s="59" t="n">
        <f aca="false" ca="false" dt2D="false" dtr="false" t="normal">F15-K15</f>
        <v>0</v>
      </c>
    </row>
    <row ht="30" outlineLevel="0" r="16">
      <c r="A16" s="212" t="n">
        <v>619</v>
      </c>
      <c r="B16" s="258" t="s">
        <v>44</v>
      </c>
      <c r="C16" s="285" t="n">
        <v>60695.89</v>
      </c>
      <c r="D16" s="285" t="n">
        <v>140576</v>
      </c>
      <c r="E16" s="366" t="n">
        <f aca="false" ca="false" dt2D="false" dtr="false" t="normal">ROUND((C16-D16)/C16*100, 2)</f>
        <v>-131.61</v>
      </c>
      <c r="F16" s="219" t="n">
        <v>0</v>
      </c>
      <c r="H16" s="286" t="n">
        <v>102393.13</v>
      </c>
      <c r="I16" s="4" t="n">
        <v>39520.88</v>
      </c>
      <c r="J16" s="154" t="n">
        <v>61.4</v>
      </c>
      <c r="K16" s="55" t="n">
        <v>5</v>
      </c>
      <c r="L16" s="59" t="n">
        <f aca="false" ca="false" dt2D="false" dtr="false" t="normal">F16-K16</f>
        <v>-5</v>
      </c>
    </row>
    <row ht="30" outlineLevel="0" r="17">
      <c r="A17" s="212" t="n">
        <v>620</v>
      </c>
      <c r="B17" s="258" t="s">
        <v>48</v>
      </c>
      <c r="C17" s="285" t="n">
        <v>2489002.09</v>
      </c>
      <c r="D17" s="285" t="n">
        <v>3215465.52</v>
      </c>
      <c r="E17" s="366" t="n">
        <f aca="false" ca="false" dt2D="false" dtr="false" t="normal">ROUND((C17-D17)/C17*100, 2)</f>
        <v>-29.19</v>
      </c>
      <c r="F17" s="219" t="n">
        <v>4</v>
      </c>
      <c r="H17" s="286" t="n">
        <v>6153265.63</v>
      </c>
      <c r="I17" s="4" t="n">
        <v>2439229.8</v>
      </c>
      <c r="J17" s="154" t="n">
        <v>60.36</v>
      </c>
      <c r="K17" s="55" t="n">
        <v>5</v>
      </c>
      <c r="L17" s="59" t="n">
        <f aca="false" ca="false" dt2D="false" dtr="false" t="normal">F17-K17</f>
        <v>-1</v>
      </c>
      <c r="M17" s="4" t="n"/>
    </row>
    <row ht="30" outlineLevel="0" r="18">
      <c r="A18" s="212" t="n">
        <v>621</v>
      </c>
      <c r="B18" s="258" t="s">
        <v>54</v>
      </c>
      <c r="C18" s="285" t="n">
        <v>13251976.25</v>
      </c>
      <c r="D18" s="285" t="n">
        <v>9898940.26</v>
      </c>
      <c r="E18" s="366" t="n">
        <f aca="false" ca="false" dt2D="false" dtr="false" t="normal">ROUND((C18-D18)/C18*100, 2)</f>
        <v>25.3</v>
      </c>
      <c r="F18" s="219" t="n">
        <v>0</v>
      </c>
      <c r="H18" s="286" t="n">
        <v>2019293.6</v>
      </c>
      <c r="I18" s="4" t="n">
        <v>81961.58</v>
      </c>
      <c r="J18" s="154" t="n">
        <v>95.94</v>
      </c>
      <c r="K18" s="55" t="n">
        <v>5</v>
      </c>
      <c r="L18" s="59" t="n">
        <f aca="false" ca="false" dt2D="false" dtr="false" t="normal">F18-K18</f>
        <v>-5</v>
      </c>
    </row>
    <row ht="45" outlineLevel="0" r="19">
      <c r="A19" s="212" t="n">
        <v>624</v>
      </c>
      <c r="B19" s="258" t="s">
        <v>40</v>
      </c>
      <c r="C19" s="285" t="n">
        <v>25715.57</v>
      </c>
      <c r="D19" s="285" t="n">
        <v>31197.82</v>
      </c>
      <c r="E19" s="366" t="n">
        <f aca="false" ca="false" dt2D="false" dtr="false" t="normal">ROUND((C19-D19)/C19*100, 2)</f>
        <v>-21.32</v>
      </c>
      <c r="F19" s="219" t="n">
        <v>5</v>
      </c>
      <c r="H19" s="286" t="n">
        <v>124638.12</v>
      </c>
      <c r="I19" s="4" t="n">
        <v>139654.78</v>
      </c>
      <c r="J19" s="154" t="n">
        <v>0</v>
      </c>
      <c r="K19" s="55" t="n">
        <v>0</v>
      </c>
      <c r="L19" s="59" t="n">
        <f aca="false" ca="false" dt2D="false" dtr="false" t="normal">F19-K19</f>
        <v>5</v>
      </c>
    </row>
    <row outlineLevel="0" r="20">
      <c r="A20" s="212" t="n">
        <v>600</v>
      </c>
      <c r="B20" s="258" t="s">
        <v>51</v>
      </c>
      <c r="C20" s="285" t="n">
        <v>177576.51</v>
      </c>
      <c r="D20" s="285" t="n">
        <v>126478.32</v>
      </c>
      <c r="E20" s="366" t="n">
        <f aca="false" ca="false" dt2D="false" dtr="false" t="normal">ROUND((C20-D20)/C20*100, 2)</f>
        <v>28.78</v>
      </c>
      <c r="F20" s="219" t="n">
        <v>1</v>
      </c>
      <c r="H20" s="274" t="n"/>
      <c r="I20" s="4" t="n"/>
      <c r="J20" s="59" t="n"/>
      <c r="L20" s="59" t="n"/>
    </row>
    <row ht="30" outlineLevel="0" r="21">
      <c r="A21" s="212" t="n">
        <v>643</v>
      </c>
      <c r="B21" s="258" t="s">
        <v>52</v>
      </c>
      <c r="C21" s="285" t="n">
        <v>214555.51</v>
      </c>
      <c r="D21" s="342" t="n">
        <v>0</v>
      </c>
      <c r="E21" s="366" t="n">
        <v>100</v>
      </c>
      <c r="F21" s="219" t="n">
        <v>5</v>
      </c>
      <c r="H21" s="274" t="n"/>
      <c r="I21" s="4" t="n"/>
      <c r="J21" s="59" t="n"/>
      <c r="L21" s="59" t="n"/>
    </row>
    <row outlineLevel="0" r="22">
      <c r="A22" s="279" t="n"/>
      <c r="B22" s="279" t="n"/>
      <c r="C22" s="241" t="n"/>
      <c r="D22" s="239" t="n"/>
      <c r="E22" s="367" t="n"/>
      <c r="F22" s="368" t="n"/>
      <c r="H22" s="274" t="n"/>
      <c r="I22" s="4" t="n"/>
      <c r="J22" s="59" t="n"/>
      <c r="L22" s="59" t="n"/>
    </row>
    <row outlineLevel="0" r="23">
      <c r="A23" s="279" t="n"/>
      <c r="B23" s="279" t="s">
        <v>23</v>
      </c>
      <c r="C23" s="241" t="n"/>
      <c r="D23" s="239" t="n"/>
      <c r="E23" s="281" t="n">
        <f aca="false" ca="true" dt2D="false" dtr="false" t="normal">SUBTOTAL(9, E6:E21)</f>
        <v>-1713.95</v>
      </c>
      <c r="F23" s="368" t="n"/>
      <c r="H23" s="274" t="n"/>
      <c r="I23" s="4" t="n"/>
      <c r="J23" s="59" t="n"/>
      <c r="L23" s="59" t="n"/>
    </row>
    <row outlineLevel="0" r="24">
      <c r="A24" s="279" t="n"/>
      <c r="B24" s="282" t="s">
        <v>24</v>
      </c>
      <c r="C24" s="241" t="n"/>
      <c r="D24" s="239" t="n"/>
      <c r="E24" s="283" t="n">
        <f aca="false" ca="false" dt2D="false" dtr="false" t="normal">ROUND(E23/16, 2)</f>
        <v>-107.11999999999999</v>
      </c>
      <c r="F24" s="368" t="n"/>
      <c r="H24" s="274" t="n"/>
      <c r="I24" s="4" t="n"/>
      <c r="J24" s="59" t="n"/>
      <c r="L24" s="59" t="n"/>
    </row>
    <row outlineLevel="0" r="25">
      <c r="A25" s="57" t="n"/>
      <c r="B25" s="57" t="n"/>
      <c r="C25" s="206" t="n"/>
      <c r="D25" s="274" t="n"/>
      <c r="E25" s="59" t="n"/>
      <c r="H25" s="274" t="n"/>
      <c r="I25" s="4" t="n"/>
      <c r="J25" s="59" t="n"/>
      <c r="L25" s="59" t="n"/>
    </row>
    <row outlineLevel="0" r="26">
      <c r="A26" s="57" t="n"/>
      <c r="B26" s="57" t="n"/>
      <c r="C26" s="206" t="n"/>
      <c r="D26" s="274" t="n"/>
      <c r="E26" s="59" t="n"/>
      <c r="H26" s="274" t="n"/>
      <c r="I26" s="4" t="n"/>
      <c r="J26" s="59" t="n"/>
      <c r="L26" s="59" t="n"/>
    </row>
    <row outlineLevel="0" r="27">
      <c r="C27" s="326" t="n">
        <f aca="false" ca="false" dt2D="false" dtr="false" t="normal">SUM(C6:C21)</f>
        <v>17899075.28</v>
      </c>
      <c r="D27" s="338" t="n">
        <f aca="false" ca="false" dt2D="false" dtr="false" t="normal">SUM(D6:D21)</f>
        <v>14097999.08</v>
      </c>
      <c r="H27" s="4" t="n"/>
    </row>
    <row outlineLevel="0" r="28">
      <c r="C28" s="326" t="n">
        <v>198474.58</v>
      </c>
      <c r="D28" s="338" t="n">
        <v>307655.25</v>
      </c>
      <c r="H28" s="268" t="n"/>
    </row>
    <row outlineLevel="0" r="29">
      <c r="C29" s="326" t="n">
        <v>5500.56</v>
      </c>
      <c r="D29" s="338" t="n">
        <v>58946.32</v>
      </c>
      <c r="H29" s="4" t="n"/>
    </row>
    <row outlineLevel="0" r="30">
      <c r="C30" s="339" t="n">
        <f aca="false" ca="false" dt2D="false" dtr="false" t="normal">SUM(C27:C29)</f>
        <v>18103050.419999998</v>
      </c>
      <c r="D30" s="339" t="n">
        <f aca="false" ca="false" dt2D="false" dtr="false" t="normal">SUM(D27:D29)</f>
        <v>14464600.65</v>
      </c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7"/>
</worksheet>
</file>

<file path=xl/worksheets/sheet2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1.9999996616676"/>
    <col customWidth="true" max="5" min="5" outlineLevel="0" style="3" width="13.1406246325922"/>
    <col customWidth="true" max="6" min="6" outlineLevel="0" style="3" width="19.570313162127"/>
    <col bestFit="true" customWidth="true" max="10" min="7" outlineLevel="0" style="3" width="9.14062530925693"/>
    <col bestFit="true" customWidth="true" max="11" min="11" outlineLevel="0" style="3" width="11.8554691511089"/>
    <col bestFit="true" customWidth="true" max="16384" min="12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</row>
    <row customHeight="true" ht="88.5" outlineLevel="0" r="2">
      <c r="A2" s="199" t="s">
        <v>206</v>
      </c>
      <c r="B2" s="199" t="s"/>
      <c r="C2" s="199" t="s"/>
      <c r="D2" s="199" t="s"/>
      <c r="E2" s="199" t="s"/>
      <c r="F2" s="52" t="s">
        <v>207</v>
      </c>
    </row>
    <row ht="165" outlineLevel="0" r="5">
      <c r="A5" s="53" t="s">
        <v>35</v>
      </c>
      <c r="B5" s="53" t="s">
        <v>2</v>
      </c>
      <c r="C5" s="53" t="s">
        <v>208</v>
      </c>
      <c r="D5" s="53" t="s">
        <v>209</v>
      </c>
      <c r="E5" s="53" t="s">
        <v>140</v>
      </c>
    </row>
    <row outlineLevel="0" r="6">
      <c r="A6" s="249" t="n">
        <v>600</v>
      </c>
      <c r="B6" s="369" t="s">
        <v>51</v>
      </c>
      <c r="C6" s="295" t="n"/>
      <c r="D6" s="350" t="n"/>
      <c r="E6" s="350" t="n"/>
    </row>
    <row outlineLevel="0" r="7">
      <c r="A7" s="236" t="n">
        <v>601</v>
      </c>
      <c r="B7" s="236" t="s">
        <v>13</v>
      </c>
      <c r="C7" s="295" t="n">
        <v>0</v>
      </c>
      <c r="D7" s="350" t="n">
        <v>0</v>
      </c>
      <c r="E7" s="350" t="n">
        <v>5</v>
      </c>
      <c r="F7" s="3" t="str">
        <f aca="false" ca="false" dt2D="false" dtr="false" t="normal">IF(D7=0, "5", "0")</f>
        <v>5</v>
      </c>
    </row>
    <row ht="30" outlineLevel="0" r="8">
      <c r="A8" s="212" t="n">
        <v>602</v>
      </c>
      <c r="B8" s="212" t="s">
        <v>53</v>
      </c>
      <c r="C8" s="295" t="n">
        <v>0</v>
      </c>
      <c r="D8" s="350" t="n">
        <v>0</v>
      </c>
      <c r="E8" s="350" t="n">
        <v>5</v>
      </c>
      <c r="F8" s="3" t="str">
        <f aca="false" ca="false" dt2D="false" dtr="false" t="normal">IF(D8=0, "5", "0")</f>
        <v>5</v>
      </c>
    </row>
    <row ht="30" outlineLevel="0" r="9">
      <c r="A9" s="212" t="n">
        <v>604</v>
      </c>
      <c r="B9" s="212" t="s">
        <v>49</v>
      </c>
      <c r="C9" s="295" t="n">
        <v>0</v>
      </c>
      <c r="D9" s="350" t="n">
        <v>0</v>
      </c>
      <c r="E9" s="350" t="n">
        <v>5</v>
      </c>
      <c r="F9" s="3" t="str">
        <f aca="false" ca="false" dt2D="false" dtr="false" t="normal">IF(D9=0, "5", "0")</f>
        <v>5</v>
      </c>
    </row>
    <row ht="45" outlineLevel="0" r="10">
      <c r="A10" s="212" t="n">
        <v>605</v>
      </c>
      <c r="B10" s="212" t="s">
        <v>45</v>
      </c>
      <c r="C10" s="295" t="n">
        <v>0</v>
      </c>
      <c r="D10" s="350" t="n">
        <v>0</v>
      </c>
      <c r="E10" s="350" t="n">
        <v>5</v>
      </c>
      <c r="F10" s="3" t="str">
        <f aca="false" ca="false" dt2D="false" dtr="false" t="normal">IF(D10=0, "5", "0")</f>
        <v>5</v>
      </c>
      <c r="K10" s="208" t="n"/>
    </row>
    <row ht="30" outlineLevel="0" r="11">
      <c r="A11" s="212" t="n">
        <v>606</v>
      </c>
      <c r="B11" s="212" t="s">
        <v>46</v>
      </c>
      <c r="C11" s="295" t="n">
        <v>0</v>
      </c>
      <c r="D11" s="350" t="n">
        <v>0</v>
      </c>
      <c r="E11" s="350" t="n">
        <v>5</v>
      </c>
      <c r="F11" s="3" t="str">
        <f aca="false" ca="false" dt2D="false" dtr="false" t="normal">IF(D11=0, "5", "0")</f>
        <v>5</v>
      </c>
    </row>
    <row ht="30" outlineLevel="0" r="12">
      <c r="A12" s="212" t="n">
        <v>607</v>
      </c>
      <c r="B12" s="212" t="s">
        <v>50</v>
      </c>
      <c r="C12" s="295" t="n">
        <v>0</v>
      </c>
      <c r="D12" s="350" t="n">
        <v>0</v>
      </c>
      <c r="E12" s="350" t="n">
        <v>5</v>
      </c>
      <c r="F12" s="3" t="str">
        <f aca="false" ca="false" dt2D="false" dtr="false" t="normal">IF(D12=0, "5", "0")</f>
        <v>5</v>
      </c>
    </row>
    <row ht="45" outlineLevel="0" r="13">
      <c r="A13" s="212" t="n">
        <v>609</v>
      </c>
      <c r="B13" s="212" t="s">
        <v>37</v>
      </c>
      <c r="C13" s="295" t="n">
        <v>0</v>
      </c>
      <c r="D13" s="350" t="n">
        <v>0</v>
      </c>
      <c r="E13" s="350" t="n">
        <v>5</v>
      </c>
      <c r="F13" s="3" t="str">
        <f aca="false" ca="false" dt2D="false" dtr="false" t="normal">IF(D13=0, "5", "0")</f>
        <v>5</v>
      </c>
    </row>
    <row ht="30" outlineLevel="0" r="14">
      <c r="A14" s="212" t="n">
        <v>611</v>
      </c>
      <c r="B14" s="212" t="s">
        <v>47</v>
      </c>
      <c r="C14" s="295" t="n">
        <v>0</v>
      </c>
      <c r="D14" s="350" t="n">
        <v>0</v>
      </c>
      <c r="E14" s="350" t="n">
        <v>5</v>
      </c>
      <c r="F14" s="3" t="str">
        <f aca="false" ca="false" dt2D="false" dtr="false" t="normal">IF(D14=0, "5", "0")</f>
        <v>5</v>
      </c>
    </row>
    <row ht="30" outlineLevel="0" r="15">
      <c r="A15" s="212" t="n">
        <v>617</v>
      </c>
      <c r="B15" s="212" t="s">
        <v>42</v>
      </c>
      <c r="C15" s="295" t="n">
        <v>0</v>
      </c>
      <c r="D15" s="350" t="n">
        <v>0</v>
      </c>
      <c r="E15" s="350" t="n">
        <v>5</v>
      </c>
      <c r="F15" s="3" t="str">
        <f aca="false" ca="false" dt2D="false" dtr="false" t="normal">IF(D15=0, "5", "0")</f>
        <v>5</v>
      </c>
    </row>
    <row ht="30" outlineLevel="0" r="16">
      <c r="A16" s="212" t="n">
        <v>618</v>
      </c>
      <c r="B16" s="212" t="s">
        <v>38</v>
      </c>
      <c r="C16" s="295" t="n">
        <v>0</v>
      </c>
      <c r="D16" s="350" t="n">
        <v>0</v>
      </c>
      <c r="E16" s="350" t="n">
        <v>5</v>
      </c>
      <c r="F16" s="3" t="str">
        <f aca="false" ca="false" dt2D="false" dtr="false" t="normal">IF(D16=0, "5", "0")</f>
        <v>5</v>
      </c>
    </row>
    <row ht="30" outlineLevel="0" r="17">
      <c r="A17" s="212" t="n">
        <v>619</v>
      </c>
      <c r="B17" s="212" t="s">
        <v>44</v>
      </c>
      <c r="C17" s="295" t="n">
        <v>0</v>
      </c>
      <c r="D17" s="350" t="n">
        <v>0</v>
      </c>
      <c r="E17" s="350" t="n">
        <v>5</v>
      </c>
      <c r="F17" s="3" t="str">
        <f aca="false" ca="false" dt2D="false" dtr="false" t="normal">IF(D17=0, "5", "0")</f>
        <v>5</v>
      </c>
    </row>
    <row ht="30" outlineLevel="0" r="18">
      <c r="A18" s="212" t="n">
        <v>620</v>
      </c>
      <c r="B18" s="212" t="s">
        <v>48</v>
      </c>
      <c r="C18" s="295" t="n">
        <v>0</v>
      </c>
      <c r="D18" s="350" t="n">
        <v>0</v>
      </c>
      <c r="E18" s="350" t="n">
        <v>5</v>
      </c>
      <c r="F18" s="3" t="str">
        <f aca="false" ca="false" dt2D="false" dtr="false" t="normal">IF(D18=0, "5", "0")</f>
        <v>5</v>
      </c>
    </row>
    <row ht="30" outlineLevel="0" r="19">
      <c r="A19" s="212" t="n">
        <v>621</v>
      </c>
      <c r="B19" s="212" t="s">
        <v>54</v>
      </c>
      <c r="C19" s="370" t="n">
        <v>263634.02</v>
      </c>
      <c r="D19" s="348" t="n">
        <v>263634.02</v>
      </c>
      <c r="E19" s="350" t="n">
        <v>0</v>
      </c>
      <c r="F19" s="3" t="str">
        <f aca="false" ca="false" dt2D="false" dtr="false" t="normal">IF(D19=0, "5", "0")</f>
        <v>0</v>
      </c>
    </row>
    <row ht="45" outlineLevel="0" r="20">
      <c r="A20" s="212" t="n">
        <v>624</v>
      </c>
      <c r="B20" s="212" t="s">
        <v>40</v>
      </c>
      <c r="C20" s="285" t="n">
        <v>0</v>
      </c>
      <c r="D20" s="350" t="n">
        <v>0</v>
      </c>
      <c r="E20" s="350" t="n">
        <v>5</v>
      </c>
      <c r="F20" s="3" t="str">
        <f aca="false" ca="false" dt2D="false" dtr="false" t="normal">IF(D20=0, "5", "0")</f>
        <v>5</v>
      </c>
    </row>
    <row ht="30" outlineLevel="0" r="21">
      <c r="A21" s="371" t="n">
        <v>643</v>
      </c>
      <c r="B21" s="258" t="s">
        <v>52</v>
      </c>
      <c r="C21" s="285" t="n"/>
      <c r="D21" s="231" t="n"/>
      <c r="E21" s="231" t="n"/>
    </row>
    <row outlineLevel="0" r="22">
      <c r="A22" s="57" t="n"/>
      <c r="B22" s="57" t="n"/>
      <c r="C22" s="372" t="n"/>
      <c r="D22" s="359" t="n"/>
      <c r="E22" s="359" t="n"/>
      <c r="F22" s="226" t="n"/>
    </row>
    <row outlineLevel="0" r="23">
      <c r="A23" s="57" t="n"/>
      <c r="B23" s="57" t="s">
        <v>23</v>
      </c>
      <c r="C23" s="372" t="n"/>
      <c r="D23" s="373" t="n">
        <v>263634.02</v>
      </c>
      <c r="E23" s="359" t="n"/>
      <c r="F23" s="226" t="n"/>
    </row>
    <row outlineLevel="0" r="24">
      <c r="A24" s="57" t="n"/>
      <c r="B24" s="60" t="s">
        <v>24</v>
      </c>
      <c r="C24" s="372" t="n"/>
      <c r="D24" s="374" t="n">
        <v>18831</v>
      </c>
      <c r="E24" s="359" t="n"/>
      <c r="F24" s="226" t="n"/>
    </row>
    <row outlineLevel="0" r="25">
      <c r="A25" s="57" t="n"/>
      <c r="B25" s="57" t="n"/>
      <c r="C25" s="372" t="n"/>
      <c r="D25" s="359" t="n"/>
      <c r="E25" s="359" t="n"/>
      <c r="F25" s="226" t="n"/>
    </row>
    <row outlineLevel="0" r="26">
      <c r="C26" s="365" t="n">
        <f aca="false" ca="false" dt2D="false" dtr="false" t="normal">SUM(C7:C20)</f>
        <v>263634.02</v>
      </c>
      <c r="D26" s="158" t="n"/>
      <c r="E26" s="158" t="n"/>
      <c r="F26" s="158" t="n"/>
    </row>
  </sheetData>
  <mergeCells count="2">
    <mergeCell ref="A1:E1"/>
    <mergeCell ref="A2:E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2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6.4257828207344"/>
    <col customWidth="true" max="3" min="3" outlineLevel="0" style="3" width="24.8554679669456"/>
    <col customWidth="true" max="4" min="4" outlineLevel="0" style="3" width="22.8554689819427"/>
    <col customWidth="true" max="5" min="5" outlineLevel="0" style="3" width="16.4257818057373"/>
    <col customWidth="true" max="6" min="6" outlineLevel="0" style="3" width="13.1406246325922"/>
    <col bestFit="true" customWidth="true" max="7" min="7" outlineLevel="0" style="3" width="14.1406254784231"/>
    <col bestFit="true" customWidth="true" max="11" min="8" outlineLevel="0" style="3" width="9.14062530925693"/>
    <col bestFit="true" customWidth="true" max="12" min="12" outlineLevel="0" style="3" width="11.8554691511089"/>
    <col bestFit="true" customWidth="true" max="16384" min="13" outlineLevel="0" style="3" width="9.14062530925693"/>
  </cols>
  <sheetData>
    <row customFormat="true" ht="20.25" outlineLevel="0" r="1" s="197">
      <c r="A1" s="198" t="s">
        <v>108</v>
      </c>
      <c r="B1" s="198" t="s"/>
      <c r="C1" s="198" t="s"/>
      <c r="D1" s="198" t="s"/>
      <c r="E1" s="198" t="s"/>
      <c r="F1" s="198" t="s"/>
    </row>
    <row customHeight="true" ht="39.5999984741211" outlineLevel="0" r="2">
      <c r="A2" s="199" t="s">
        <v>210</v>
      </c>
      <c r="B2" s="199" t="s"/>
      <c r="C2" s="199" t="s"/>
      <c r="D2" s="199" t="s"/>
      <c r="E2" s="199" t="s"/>
      <c r="F2" s="199" t="s"/>
    </row>
    <row ht="30" outlineLevel="0" r="3">
      <c r="D3" s="52" t="s">
        <v>198</v>
      </c>
    </row>
    <row ht="135" outlineLevel="0" r="5">
      <c r="A5" s="248" t="s">
        <v>35</v>
      </c>
      <c r="B5" s="248" t="s">
        <v>2</v>
      </c>
      <c r="C5" s="248" t="s">
        <v>211</v>
      </c>
      <c r="D5" s="248" t="s">
        <v>212</v>
      </c>
      <c r="E5" s="53" t="s">
        <v>213</v>
      </c>
      <c r="F5" s="53" t="s">
        <v>140</v>
      </c>
      <c r="G5" s="53" t="s">
        <v>214</v>
      </c>
    </row>
    <row outlineLevel="0" r="6">
      <c r="A6" s="252" t="n">
        <v>600</v>
      </c>
      <c r="B6" s="375" t="s">
        <v>51</v>
      </c>
      <c r="C6" s="251" t="n">
        <v>13142.94</v>
      </c>
      <c r="D6" s="252" t="n">
        <v>0</v>
      </c>
      <c r="E6" s="376" t="n">
        <v>0</v>
      </c>
      <c r="F6" s="377" t="n">
        <v>0</v>
      </c>
    </row>
    <row outlineLevel="0" r="7">
      <c r="A7" s="378" t="n">
        <v>601</v>
      </c>
      <c r="B7" s="378" t="s">
        <v>13</v>
      </c>
      <c r="C7" s="251" t="n">
        <v>784028.91</v>
      </c>
      <c r="D7" s="251" t="n">
        <v>696873.97</v>
      </c>
      <c r="E7" s="379" t="n">
        <f aca="false" ca="false" dt2D="false" dtr="false" t="normal">ROUND(C7/D7*100-100, 2)</f>
        <v>12.51</v>
      </c>
      <c r="F7" s="259" t="n">
        <v>5</v>
      </c>
      <c r="G7" s="226" t="e">
        <f aca="false" ca="false" dt2D="false" dtr="false" t="normal">SUM(#REF!-#REF!)</f>
        <v>#REF!</v>
      </c>
    </row>
    <row ht="30" outlineLevel="0" r="8">
      <c r="A8" s="378" t="n">
        <v>602</v>
      </c>
      <c r="B8" s="378" t="s">
        <v>53</v>
      </c>
      <c r="C8" s="251" t="n">
        <v>760135076.24</v>
      </c>
      <c r="D8" s="251" t="n">
        <v>735305857.11</v>
      </c>
      <c r="E8" s="379" t="n">
        <f aca="false" ca="false" dt2D="false" dtr="false" t="normal">ROUND(C8/D8*100-100, 2)</f>
        <v>3.38</v>
      </c>
      <c r="F8" s="259" t="n">
        <v>5</v>
      </c>
      <c r="G8" s="226" t="e">
        <f aca="false" ca="false" dt2D="false" dtr="false" t="normal">SUM(#REF!-#REF!)</f>
        <v>#REF!</v>
      </c>
    </row>
    <row ht="30" outlineLevel="0" r="9">
      <c r="A9" s="378" t="n">
        <v>604</v>
      </c>
      <c r="B9" s="378" t="s">
        <v>49</v>
      </c>
      <c r="C9" s="251" t="n">
        <v>50000</v>
      </c>
      <c r="D9" s="251" t="n">
        <v>8330</v>
      </c>
      <c r="E9" s="379" t="n">
        <f aca="false" ca="false" dt2D="false" dtr="false" t="normal">ROUND(C9/D9*100-100, 2)</f>
        <v>500.24</v>
      </c>
      <c r="F9" s="259" t="n">
        <v>5</v>
      </c>
      <c r="G9" s="226" t="e">
        <f aca="false" ca="false" dt2D="false" dtr="false" t="normal">SUM(#REF!-#REF!)</f>
        <v>#REF!</v>
      </c>
    </row>
    <row ht="30" outlineLevel="0" r="10">
      <c r="A10" s="378" t="n">
        <v>605</v>
      </c>
      <c r="B10" s="378" t="s">
        <v>70</v>
      </c>
      <c r="C10" s="251" t="n">
        <v>18203001.63</v>
      </c>
      <c r="D10" s="251" t="n">
        <v>17308965.31</v>
      </c>
      <c r="E10" s="379" t="n">
        <f aca="false" ca="false" dt2D="false" dtr="false" t="normal">ROUND(C10/D10*100-100, 2)</f>
        <v>5.17</v>
      </c>
      <c r="F10" s="259" t="n">
        <v>5</v>
      </c>
      <c r="G10" s="226" t="e">
        <f aca="false" ca="false" dt2D="false" dtr="false" t="normal">SUM(#REF!-#REF!)</f>
        <v>#REF!</v>
      </c>
    </row>
    <row ht="30" outlineLevel="0" r="11">
      <c r="A11" s="378" t="n">
        <v>606</v>
      </c>
      <c r="B11" s="378" t="s">
        <v>46</v>
      </c>
      <c r="C11" s="251" t="n">
        <v>24457.3</v>
      </c>
      <c r="D11" s="251" t="n">
        <v>84140</v>
      </c>
      <c r="E11" s="379" t="n">
        <f aca="false" ca="false" dt2D="false" dtr="false" t="normal">ROUND(C11/D11*100-100, 2)</f>
        <v>-70.93</v>
      </c>
      <c r="F11" s="259" t="n">
        <v>0</v>
      </c>
      <c r="G11" s="226" t="e">
        <f aca="false" ca="false" dt2D="false" dtr="false" t="normal">SUM(#REF!-#REF!)</f>
        <v>#REF!</v>
      </c>
    </row>
    <row ht="30" outlineLevel="0" r="12">
      <c r="A12" s="378" t="n">
        <v>607</v>
      </c>
      <c r="B12" s="378" t="s">
        <v>50</v>
      </c>
      <c r="C12" s="251" t="n">
        <v>80592.84</v>
      </c>
      <c r="D12" s="252" t="n">
        <v>0</v>
      </c>
      <c r="E12" s="379" t="n">
        <v>0</v>
      </c>
      <c r="F12" s="259" t="n">
        <v>0</v>
      </c>
      <c r="G12" s="226" t="e">
        <f aca="false" ca="false" dt2D="false" dtr="false" t="normal">SUM(#REF!-#REF!)</f>
        <v>#REF!</v>
      </c>
    </row>
    <row ht="30" outlineLevel="0" r="13">
      <c r="A13" s="378" t="n">
        <v>609</v>
      </c>
      <c r="B13" s="378" t="s">
        <v>37</v>
      </c>
      <c r="C13" s="251" t="n">
        <v>2227905.34</v>
      </c>
      <c r="D13" s="251" t="n">
        <v>2140568.2</v>
      </c>
      <c r="E13" s="379" t="n">
        <f aca="false" ca="false" dt2D="false" dtr="false" t="normal">ROUND(C13/D13*100-100, 2)</f>
        <v>4.08</v>
      </c>
      <c r="F13" s="259" t="n">
        <v>5</v>
      </c>
      <c r="G13" s="226" t="e">
        <f aca="false" ca="false" dt2D="false" dtr="false" t="normal">SUM(#REF!-#REF!)</f>
        <v>#REF!</v>
      </c>
    </row>
    <row ht="30" outlineLevel="0" r="14">
      <c r="A14" s="378" t="n">
        <v>611</v>
      </c>
      <c r="B14" s="378" t="s">
        <v>47</v>
      </c>
      <c r="C14" s="259" t="s">
        <v>93</v>
      </c>
      <c r="D14" s="259" t="s">
        <v>93</v>
      </c>
      <c r="E14" s="379" t="n">
        <v>0</v>
      </c>
      <c r="F14" s="259" t="n">
        <v>0</v>
      </c>
      <c r="G14" s="226" t="e">
        <f aca="false" ca="false" dt2D="false" dtr="false" t="normal">SUM(#REF!-#REF!)</f>
        <v>#REF!</v>
      </c>
    </row>
    <row ht="30" outlineLevel="0" r="15">
      <c r="A15" s="378" t="n">
        <v>617</v>
      </c>
      <c r="B15" s="378" t="s">
        <v>42</v>
      </c>
      <c r="C15" s="251" t="n">
        <v>1396477.53</v>
      </c>
      <c r="D15" s="251" t="n">
        <v>1275977.05</v>
      </c>
      <c r="E15" s="379" t="n">
        <f aca="false" ca="false" dt2D="false" dtr="false" t="normal">ROUND(C15/D15*100-100, 2)</f>
        <v>9.44</v>
      </c>
      <c r="F15" s="259" t="n">
        <v>5</v>
      </c>
      <c r="G15" s="226" t="e">
        <f aca="false" ca="false" dt2D="false" dtr="false" t="normal">SUM(#REF!-#REF!)</f>
        <v>#REF!</v>
      </c>
    </row>
    <row ht="30" outlineLevel="0" r="16">
      <c r="A16" s="378" t="n">
        <v>618</v>
      </c>
      <c r="B16" s="378" t="s">
        <v>38</v>
      </c>
      <c r="C16" s="251" t="n">
        <v>873435.05</v>
      </c>
      <c r="D16" s="251" t="n">
        <v>823595</v>
      </c>
      <c r="E16" s="379" t="n">
        <f aca="false" ca="false" dt2D="false" dtr="false" t="normal">ROUND(C16/D16*100-100, 2)</f>
        <v>6.05</v>
      </c>
      <c r="F16" s="259" t="n">
        <v>5</v>
      </c>
      <c r="G16" s="226" t="e">
        <f aca="false" ca="false" dt2D="false" dtr="false" t="normal">SUM(#REF!-#REF!)</f>
        <v>#REF!</v>
      </c>
    </row>
    <row ht="30" outlineLevel="0" r="17">
      <c r="A17" s="378" t="n">
        <v>619</v>
      </c>
      <c r="B17" s="378" t="s">
        <v>44</v>
      </c>
      <c r="C17" s="251" t="n">
        <v>4343508.83</v>
      </c>
      <c r="D17" s="251" t="n">
        <v>3978345.31</v>
      </c>
      <c r="E17" s="379" t="n">
        <f aca="false" ca="false" dt2D="false" dtr="false" t="normal">ROUND(C17/D17*100-100, 2)</f>
        <v>9.18</v>
      </c>
      <c r="F17" s="259" t="n">
        <v>5</v>
      </c>
      <c r="G17" s="226" t="e">
        <f aca="false" ca="false" dt2D="false" dtr="false" t="normal">SUM(#REF!-#REF!)</f>
        <v>#REF!</v>
      </c>
    </row>
    <row ht="30" outlineLevel="0" r="18">
      <c r="A18" s="378" t="n">
        <v>620</v>
      </c>
      <c r="B18" s="378" t="s">
        <v>48</v>
      </c>
      <c r="C18" s="251" t="n">
        <v>8957414.27</v>
      </c>
      <c r="D18" s="251" t="n">
        <v>7470997.79</v>
      </c>
      <c r="E18" s="379" t="n">
        <f aca="false" ca="false" dt2D="false" dtr="false" t="normal">ROUND(C18/D18*100-100, 2)</f>
        <v>19.9</v>
      </c>
      <c r="F18" s="259" t="n">
        <v>5</v>
      </c>
      <c r="G18" s="226" t="e">
        <f aca="false" ca="false" dt2D="false" dtr="false" t="normal">SUM(#REF!-#REF!)</f>
        <v>#REF!</v>
      </c>
    </row>
    <row ht="30" outlineLevel="0" r="19">
      <c r="A19" s="378" t="n">
        <v>621</v>
      </c>
      <c r="B19" s="378" t="s">
        <v>54</v>
      </c>
      <c r="C19" s="251" t="n">
        <v>60596835.12</v>
      </c>
      <c r="D19" s="251" t="n">
        <v>52498832.64</v>
      </c>
      <c r="E19" s="379" t="n">
        <f aca="false" ca="false" dt2D="false" dtr="false" t="normal">ROUND(C19/D19*100-100, 2)</f>
        <v>15.43</v>
      </c>
      <c r="F19" s="259" t="n">
        <v>5</v>
      </c>
      <c r="G19" s="226" t="e">
        <f aca="false" ca="false" dt2D="false" dtr="false" t="normal">SUM(#REF!-#REF!)</f>
        <v>#REF!</v>
      </c>
    </row>
    <row ht="45" outlineLevel="0" r="20">
      <c r="A20" s="378" t="n">
        <v>624</v>
      </c>
      <c r="B20" s="378" t="s">
        <v>40</v>
      </c>
      <c r="C20" s="251" t="n">
        <v>1227650.34</v>
      </c>
      <c r="D20" s="251" t="n">
        <v>1346435</v>
      </c>
      <c r="E20" s="379" t="n">
        <f aca="false" ca="false" dt2D="false" dtr="false" t="normal">ROUND(C20/D20*100-100, 2)</f>
        <v>-8.82</v>
      </c>
      <c r="F20" s="259" t="n">
        <v>0</v>
      </c>
      <c r="G20" s="226" t="e">
        <f aca="false" ca="false" dt2D="false" dtr="false" t="normal">SUM(#REF!-#REF!)</f>
        <v>#REF!</v>
      </c>
    </row>
    <row outlineLevel="0" r="21">
      <c r="A21" s="378" t="n">
        <v>643</v>
      </c>
      <c r="B21" s="378" t="s">
        <v>52</v>
      </c>
      <c r="C21" s="257" t="s">
        <v>93</v>
      </c>
      <c r="D21" s="259" t="s">
        <v>93</v>
      </c>
      <c r="E21" s="376" t="n">
        <v>0</v>
      </c>
      <c r="F21" s="261" t="n">
        <v>0</v>
      </c>
      <c r="G21" s="226" t="n"/>
    </row>
    <row outlineLevel="0" r="22">
      <c r="A22" s="57" t="n"/>
      <c r="B22" s="57" t="n"/>
      <c r="C22" s="372" t="n"/>
      <c r="D22" s="372" t="n"/>
      <c r="E22" s="200" t="n">
        <f aca="false" ca="true" dt2D="false" dtr="false" t="normal">SUBTOTAL(9, E6:E21)</f>
        <v>505.62999999999994</v>
      </c>
      <c r="F22" s="359" t="n"/>
      <c r="G22" s="226" t="n"/>
    </row>
    <row outlineLevel="0" r="23">
      <c r="A23" s="57" t="n"/>
      <c r="B23" s="57" t="s">
        <v>23</v>
      </c>
      <c r="C23" s="372" t="n"/>
      <c r="D23" s="372" t="n"/>
      <c r="E23" s="292" t="n">
        <f aca="false" ca="false" dt2D="false" dtr="false" t="normal">ROUND(E22/14, 2)</f>
        <v>36.120000000000005</v>
      </c>
      <c r="F23" s="380" t="n">
        <v>50</v>
      </c>
      <c r="G23" s="226" t="n"/>
    </row>
    <row outlineLevel="0" r="24">
      <c r="A24" s="57" t="n"/>
      <c r="B24" s="60" t="s">
        <v>24</v>
      </c>
      <c r="C24" s="372" t="n"/>
      <c r="D24" s="372" t="n"/>
      <c r="E24" s="359" t="n"/>
      <c r="F24" s="381" t="n">
        <v>4.17</v>
      </c>
      <c r="G24" s="226" t="n"/>
    </row>
    <row outlineLevel="0" r="25">
      <c r="A25" s="57" t="n"/>
      <c r="B25" s="57" t="n"/>
      <c r="C25" s="365" t="n">
        <f aca="false" ca="false" dt2D="false" dtr="false" t="normal">SUM(C6:C21)</f>
        <v>858913526.34</v>
      </c>
      <c r="D25" s="365" t="n">
        <f aca="false" ca="false" dt2D="false" dtr="false" t="normal">SUM(D6:D21)</f>
        <v>822938917.3799999</v>
      </c>
      <c r="E25" s="158" t="n"/>
      <c r="F25" s="158" t="n"/>
      <c r="G25" s="226" t="n"/>
    </row>
    <row outlineLevel="0" r="26">
      <c r="C26" s="365" t="e">
        <f aca="false" ca="false" dt2D="false" dtr="false" t="normal">SUM(#REF!)</f>
        <v>#REF!</v>
      </c>
      <c r="D26" s="382" t="n">
        <f aca="false" ca="false" dt2D="false" dtr="false" t="normal">SUM(D22)</f>
        <v>0</v>
      </c>
      <c r="E26" s="158" t="n"/>
      <c r="F26" s="158" t="n"/>
      <c r="G26" s="158" t="n"/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2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6.1406248017584"/>
    <col customWidth="true" max="5" min="5" outlineLevel="0" style="3" width="13.1406246325922"/>
    <col bestFit="true" customWidth="true" max="16384" min="6" outlineLevel="0" style="3" width="9.14062530925693"/>
  </cols>
  <sheetData>
    <row customFormat="true" customHeight="true" ht="20.4500007629395" outlineLevel="0" r="1" s="197">
      <c r="A1" s="198" t="s">
        <v>120</v>
      </c>
      <c r="B1" s="198" t="s"/>
      <c r="C1" s="198" t="s"/>
      <c r="D1" s="198" t="s"/>
      <c r="E1" s="198" t="s"/>
    </row>
    <row customHeight="true" ht="49.1500015258789" outlineLevel="0" r="2">
      <c r="A2" s="199" t="s">
        <v>215</v>
      </c>
      <c r="B2" s="199" t="s"/>
      <c r="C2" s="199" t="s"/>
      <c r="D2" s="199" t="s"/>
      <c r="E2" s="199" t="s"/>
    </row>
    <row ht="30" outlineLevel="0" r="3">
      <c r="C3" s="52" t="s">
        <v>198</v>
      </c>
      <c r="D3" s="52" t="s">
        <v>198</v>
      </c>
    </row>
    <row ht="210" outlineLevel="0" r="5">
      <c r="A5" s="53" t="s">
        <v>35</v>
      </c>
      <c r="B5" s="53" t="s">
        <v>2</v>
      </c>
      <c r="C5" s="53" t="s">
        <v>216</v>
      </c>
      <c r="D5" s="53" t="s">
        <v>217</v>
      </c>
      <c r="E5" s="53" t="s">
        <v>140</v>
      </c>
    </row>
    <row outlineLevel="0" r="6">
      <c r="A6" s="236" t="n">
        <v>600</v>
      </c>
      <c r="B6" s="236" t="s">
        <v>51</v>
      </c>
      <c r="C6" s="383" t="n">
        <v>5</v>
      </c>
      <c r="D6" s="284" t="n"/>
      <c r="E6" s="383" t="n">
        <v>5</v>
      </c>
    </row>
    <row outlineLevel="0" r="7">
      <c r="A7" s="236" t="n">
        <v>601</v>
      </c>
      <c r="B7" s="236" t="s">
        <v>13</v>
      </c>
      <c r="C7" s="384" t="n">
        <v>5</v>
      </c>
      <c r="D7" s="384" t="n"/>
      <c r="E7" s="384" t="n">
        <v>5</v>
      </c>
    </row>
    <row ht="30" outlineLevel="0" r="8">
      <c r="A8" s="212" t="n">
        <v>602</v>
      </c>
      <c r="B8" s="212" t="s">
        <v>53</v>
      </c>
      <c r="C8" s="384" t="n">
        <v>5</v>
      </c>
      <c r="D8" s="384" t="n"/>
      <c r="E8" s="384" t="n">
        <v>5</v>
      </c>
    </row>
    <row ht="30" outlineLevel="0" r="9">
      <c r="A9" s="212" t="n">
        <v>604</v>
      </c>
      <c r="B9" s="212" t="s">
        <v>49</v>
      </c>
      <c r="C9" s="384" t="n">
        <v>5</v>
      </c>
      <c r="D9" s="384" t="n"/>
      <c r="E9" s="384" t="n">
        <v>5</v>
      </c>
    </row>
    <row ht="45" outlineLevel="0" r="10">
      <c r="A10" s="212" t="n">
        <v>605</v>
      </c>
      <c r="B10" s="212" t="s">
        <v>45</v>
      </c>
      <c r="C10" s="384" t="n">
        <v>5</v>
      </c>
      <c r="D10" s="384" t="n"/>
      <c r="E10" s="384" t="n">
        <v>5</v>
      </c>
    </row>
    <row ht="30" outlineLevel="0" r="11">
      <c r="A11" s="212" t="n">
        <v>606</v>
      </c>
      <c r="B11" s="212" t="s">
        <v>46</v>
      </c>
      <c r="C11" s="384" t="n">
        <v>5</v>
      </c>
      <c r="D11" s="384" t="n"/>
      <c r="E11" s="384" t="n">
        <v>5</v>
      </c>
    </row>
    <row ht="30" outlineLevel="0" r="12">
      <c r="A12" s="212" t="n">
        <v>607</v>
      </c>
      <c r="B12" s="212" t="s">
        <v>50</v>
      </c>
      <c r="C12" s="384" t="n">
        <v>5</v>
      </c>
      <c r="D12" s="384" t="n"/>
      <c r="E12" s="384" t="n">
        <v>5</v>
      </c>
    </row>
    <row ht="45" outlineLevel="0" r="13">
      <c r="A13" s="212" t="n">
        <v>609</v>
      </c>
      <c r="B13" s="212" t="s">
        <v>37</v>
      </c>
      <c r="C13" s="384" t="n">
        <v>5</v>
      </c>
      <c r="D13" s="384" t="n"/>
      <c r="E13" s="384" t="n">
        <v>5</v>
      </c>
    </row>
    <row ht="30" outlineLevel="0" r="14">
      <c r="A14" s="212" t="n">
        <v>611</v>
      </c>
      <c r="B14" s="212" t="s">
        <v>47</v>
      </c>
      <c r="C14" s="384" t="n">
        <v>5</v>
      </c>
      <c r="D14" s="384" t="n"/>
      <c r="E14" s="384" t="n">
        <v>5</v>
      </c>
    </row>
    <row ht="30" outlineLevel="0" r="15">
      <c r="A15" s="212" t="n">
        <v>617</v>
      </c>
      <c r="B15" s="212" t="s">
        <v>42</v>
      </c>
      <c r="C15" s="385" t="n">
        <v>5</v>
      </c>
      <c r="D15" s="384" t="n"/>
      <c r="E15" s="385" t="n">
        <v>5</v>
      </c>
    </row>
    <row ht="30" outlineLevel="0" r="16">
      <c r="A16" s="212" t="n">
        <v>618</v>
      </c>
      <c r="B16" s="212" t="s">
        <v>38</v>
      </c>
      <c r="C16" s="384" t="n">
        <v>5</v>
      </c>
      <c r="D16" s="384" t="n"/>
      <c r="E16" s="384" t="n">
        <v>5</v>
      </c>
    </row>
    <row ht="30" outlineLevel="0" r="17">
      <c r="A17" s="212" t="n">
        <v>619</v>
      </c>
      <c r="B17" s="212" t="s">
        <v>44</v>
      </c>
      <c r="C17" s="384" t="n">
        <v>5</v>
      </c>
      <c r="D17" s="384" t="n"/>
      <c r="E17" s="384" t="n">
        <v>5</v>
      </c>
    </row>
    <row ht="30" outlineLevel="0" r="18">
      <c r="A18" s="212" t="n">
        <v>620</v>
      </c>
      <c r="B18" s="212" t="s">
        <v>48</v>
      </c>
      <c r="C18" s="384" t="n">
        <v>5</v>
      </c>
      <c r="D18" s="384" t="n"/>
      <c r="E18" s="384" t="n">
        <v>5</v>
      </c>
    </row>
    <row ht="30" outlineLevel="0" r="19">
      <c r="A19" s="212" t="n">
        <v>621</v>
      </c>
      <c r="B19" s="212" t="s">
        <v>54</v>
      </c>
      <c r="C19" s="384" t="n">
        <v>5</v>
      </c>
      <c r="D19" s="384" t="n"/>
      <c r="E19" s="384" t="n">
        <v>5</v>
      </c>
    </row>
    <row ht="45" outlineLevel="0" r="20">
      <c r="A20" s="212" t="n">
        <v>624</v>
      </c>
      <c r="B20" s="212" t="s">
        <v>40</v>
      </c>
      <c r="C20" s="384" t="n">
        <v>5</v>
      </c>
      <c r="D20" s="384" t="n"/>
      <c r="E20" s="384" t="n">
        <v>5</v>
      </c>
    </row>
    <row outlineLevel="0" r="21">
      <c r="A21" s="386" t="n">
        <v>643</v>
      </c>
      <c r="B21" s="215" t="s">
        <v>52</v>
      </c>
      <c r="C21" s="384" t="n">
        <v>5</v>
      </c>
      <c r="D21" s="215" t="n"/>
      <c r="E21" s="384" t="n">
        <v>5</v>
      </c>
    </row>
  </sheetData>
  <mergeCells count="2">
    <mergeCell ref="A1:E1"/>
    <mergeCell ref="A2:E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84"/>
</worksheet>
</file>

<file path=xl/worksheets/sheet2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6.1406248017584"/>
    <col customWidth="true" max="5" min="5" outlineLevel="0" style="3" width="13.1406246325922"/>
    <col bestFit="true" customWidth="true" max="16384" min="6" outlineLevel="0" style="3" width="9.14062530925693"/>
  </cols>
  <sheetData>
    <row customFormat="true" customHeight="true" ht="20.4500007629395" outlineLevel="0" r="1" s="197">
      <c r="A1" s="198" t="s">
        <v>120</v>
      </c>
      <c r="B1" s="198" t="s"/>
      <c r="C1" s="198" t="s"/>
      <c r="D1" s="198" t="s"/>
      <c r="E1" s="198" t="s"/>
    </row>
    <row customHeight="true" ht="47.4500007629395" outlineLevel="0" r="2">
      <c r="A2" s="199" t="s">
        <v>218</v>
      </c>
      <c r="B2" s="199" t="s"/>
      <c r="C2" s="199" t="s"/>
      <c r="D2" s="199" t="s"/>
      <c r="E2" s="199" t="s"/>
    </row>
    <row ht="30" outlineLevel="0" r="3">
      <c r="C3" s="52" t="s">
        <v>198</v>
      </c>
      <c r="D3" s="52" t="s">
        <v>198</v>
      </c>
    </row>
    <row ht="120" outlineLevel="0" r="5">
      <c r="A5" s="53" t="s">
        <v>35</v>
      </c>
      <c r="B5" s="53" t="s">
        <v>2</v>
      </c>
      <c r="C5" s="53" t="s">
        <v>219</v>
      </c>
      <c r="D5" s="53" t="s">
        <v>220</v>
      </c>
      <c r="E5" s="53" t="s">
        <v>140</v>
      </c>
    </row>
    <row outlineLevel="0" r="6">
      <c r="A6" s="236" t="n">
        <v>600</v>
      </c>
      <c r="B6" s="236" t="s">
        <v>51</v>
      </c>
      <c r="C6" s="383" t="n">
        <v>5</v>
      </c>
      <c r="D6" s="284" t="n"/>
      <c r="E6" s="383" t="n">
        <v>5</v>
      </c>
    </row>
    <row outlineLevel="0" r="7">
      <c r="A7" s="236" t="n">
        <v>601</v>
      </c>
      <c r="B7" s="236" t="s">
        <v>13</v>
      </c>
      <c r="C7" s="384" t="n">
        <v>5</v>
      </c>
      <c r="D7" s="384" t="n"/>
      <c r="E7" s="384" t="n">
        <v>5</v>
      </c>
    </row>
    <row ht="30" outlineLevel="0" r="8">
      <c r="A8" s="212" t="n">
        <v>602</v>
      </c>
      <c r="B8" s="212" t="s">
        <v>53</v>
      </c>
      <c r="C8" s="384" t="n">
        <v>5</v>
      </c>
      <c r="D8" s="384" t="n"/>
      <c r="E8" s="384" t="n">
        <v>5</v>
      </c>
    </row>
    <row ht="30" outlineLevel="0" r="9">
      <c r="A9" s="212" t="n">
        <v>604</v>
      </c>
      <c r="B9" s="212" t="s">
        <v>49</v>
      </c>
      <c r="C9" s="384" t="n">
        <v>5</v>
      </c>
      <c r="D9" s="384" t="n"/>
      <c r="E9" s="384" t="n">
        <v>5</v>
      </c>
    </row>
    <row ht="45" outlineLevel="0" r="10">
      <c r="A10" s="212" t="n">
        <v>605</v>
      </c>
      <c r="B10" s="212" t="s">
        <v>45</v>
      </c>
      <c r="C10" s="384" t="n">
        <v>5</v>
      </c>
      <c r="D10" s="384" t="n"/>
      <c r="E10" s="384" t="n">
        <v>5</v>
      </c>
    </row>
    <row ht="30" outlineLevel="0" r="11">
      <c r="A11" s="212" t="n">
        <v>606</v>
      </c>
      <c r="B11" s="212" t="s">
        <v>46</v>
      </c>
      <c r="C11" s="384" t="n">
        <v>5</v>
      </c>
      <c r="D11" s="384" t="n"/>
      <c r="E11" s="384" t="n">
        <v>5</v>
      </c>
    </row>
    <row ht="30" outlineLevel="0" r="12">
      <c r="A12" s="212" t="n">
        <v>607</v>
      </c>
      <c r="B12" s="212" t="s">
        <v>50</v>
      </c>
      <c r="C12" s="384" t="n">
        <v>5</v>
      </c>
      <c r="D12" s="384" t="n"/>
      <c r="E12" s="384" t="n">
        <v>5</v>
      </c>
    </row>
    <row ht="45" outlineLevel="0" r="13">
      <c r="A13" s="212" t="n">
        <v>609</v>
      </c>
      <c r="B13" s="212" t="s">
        <v>37</v>
      </c>
      <c r="C13" s="384" t="n">
        <v>5</v>
      </c>
      <c r="D13" s="384" t="n"/>
      <c r="E13" s="384" t="n">
        <v>5</v>
      </c>
    </row>
    <row ht="30" outlineLevel="0" r="14">
      <c r="A14" s="212" t="n">
        <v>611</v>
      </c>
      <c r="B14" s="212" t="s">
        <v>47</v>
      </c>
      <c r="C14" s="384" t="n">
        <v>5</v>
      </c>
      <c r="D14" s="384" t="n"/>
      <c r="E14" s="384" t="n">
        <v>5</v>
      </c>
    </row>
    <row ht="30" outlineLevel="0" r="15">
      <c r="A15" s="212" t="n">
        <v>617</v>
      </c>
      <c r="B15" s="212" t="s">
        <v>42</v>
      </c>
      <c r="C15" s="385" t="n">
        <v>5</v>
      </c>
      <c r="D15" s="384" t="n"/>
      <c r="E15" s="384" t="n">
        <v>5</v>
      </c>
    </row>
    <row ht="30" outlineLevel="0" r="16">
      <c r="A16" s="212" t="n">
        <v>618</v>
      </c>
      <c r="B16" s="212" t="s">
        <v>38</v>
      </c>
      <c r="C16" s="384" t="n">
        <v>5</v>
      </c>
      <c r="D16" s="384" t="n"/>
      <c r="E16" s="384" t="n">
        <v>5</v>
      </c>
    </row>
    <row ht="30" outlineLevel="0" r="17">
      <c r="A17" s="212" t="n">
        <v>619</v>
      </c>
      <c r="B17" s="212" t="s">
        <v>44</v>
      </c>
      <c r="C17" s="384" t="n">
        <v>5</v>
      </c>
      <c r="D17" s="384" t="n"/>
      <c r="E17" s="384" t="n">
        <v>5</v>
      </c>
    </row>
    <row ht="30" outlineLevel="0" r="18">
      <c r="A18" s="212" t="n">
        <v>620</v>
      </c>
      <c r="B18" s="212" t="s">
        <v>48</v>
      </c>
      <c r="C18" s="384" t="n">
        <v>5</v>
      </c>
      <c r="D18" s="384" t="n"/>
      <c r="E18" s="384" t="n">
        <v>5</v>
      </c>
    </row>
    <row ht="30" outlineLevel="0" r="19">
      <c r="A19" s="212" t="n">
        <v>621</v>
      </c>
      <c r="B19" s="212" t="s">
        <v>54</v>
      </c>
      <c r="C19" s="384" t="n">
        <v>5</v>
      </c>
      <c r="D19" s="384" t="n"/>
      <c r="E19" s="384" t="n">
        <v>5</v>
      </c>
    </row>
    <row ht="45" outlineLevel="0" r="20">
      <c r="A20" s="212" t="n">
        <v>624</v>
      </c>
      <c r="B20" s="212" t="s">
        <v>40</v>
      </c>
      <c r="C20" s="384" t="n">
        <v>5</v>
      </c>
      <c r="D20" s="384" t="n"/>
      <c r="E20" s="384" t="n">
        <v>5</v>
      </c>
    </row>
    <row outlineLevel="0" r="21">
      <c r="A21" s="386" t="n">
        <v>643</v>
      </c>
      <c r="B21" s="215" t="s">
        <v>52</v>
      </c>
      <c r="C21" s="384" t="n">
        <v>5</v>
      </c>
      <c r="D21" s="215" t="n"/>
      <c r="E21" s="384" t="n">
        <v>5</v>
      </c>
    </row>
    <row outlineLevel="0" r="27">
      <c r="B27" s="3" t="str">
        <f aca="false" ca="false" dt2D="false" dtr="false" t="normal">CONCATENATE(B9, B10, B13, B15, B16, B17, B19, B20, B21)</f>
        <v>Комитет финансов и бюджета администрации города СтаврополяКомитет  экономического развития и торговли администрации города СтаврополяКомитет труда и социальной защиты населения администрации города СтаврополяАдминистрация Ленинского района города СтаврополяАдминистрация Октябрьского района города СтаврополяАдминистрация Промышленного района города СтаврополяКомитет градостроительства администрации города СтаврополяКомитет по делам гражданской обороны и чрезвычайным ситуациям администрации города СтаврополяКонтрольно-счетная палата города Ставрополя</v>
      </c>
    </row>
  </sheetData>
  <mergeCells count="2">
    <mergeCell ref="A1:E1"/>
    <mergeCell ref="A2:E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84"/>
</worksheet>
</file>

<file path=xl/worksheets/sheet2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6.1406248017584"/>
    <col customWidth="true" max="5" min="5" outlineLevel="0" style="3" width="13.1406246325922"/>
    <col bestFit="true" customWidth="true" max="16384" min="6" outlineLevel="0" style="3" width="9.14062530925693"/>
  </cols>
  <sheetData>
    <row customFormat="true" customHeight="true" ht="20.4500007629395" outlineLevel="0" r="1" s="197">
      <c r="A1" s="198" t="s">
        <v>120</v>
      </c>
      <c r="B1" s="198" t="s"/>
      <c r="C1" s="198" t="s"/>
      <c r="D1" s="198" t="s"/>
      <c r="E1" s="198" t="s"/>
    </row>
    <row customHeight="true" ht="75.75" outlineLevel="0" r="2">
      <c r="A2" s="199" t="s">
        <v>221</v>
      </c>
      <c r="B2" s="199" t="s"/>
      <c r="C2" s="199" t="s"/>
      <c r="D2" s="199" t="s"/>
      <c r="E2" s="199" t="s"/>
    </row>
    <row ht="30" outlineLevel="0" r="3">
      <c r="C3" s="52" t="s">
        <v>198</v>
      </c>
      <c r="D3" s="52" t="s">
        <v>198</v>
      </c>
    </row>
    <row ht="165" outlineLevel="0" r="5">
      <c r="A5" s="53" t="s">
        <v>35</v>
      </c>
      <c r="B5" s="53" t="s">
        <v>2</v>
      </c>
      <c r="C5" s="248" t="s">
        <v>222</v>
      </c>
      <c r="D5" s="53" t="s">
        <v>223</v>
      </c>
      <c r="E5" s="53" t="s">
        <v>140</v>
      </c>
    </row>
    <row outlineLevel="0" r="6">
      <c r="A6" s="236" t="n">
        <v>600</v>
      </c>
      <c r="B6" s="255" t="s">
        <v>51</v>
      </c>
      <c r="C6" s="387" t="n">
        <v>5</v>
      </c>
      <c r="D6" s="388" t="n"/>
      <c r="E6" s="389" t="n">
        <v>5</v>
      </c>
    </row>
    <row outlineLevel="0" r="7">
      <c r="A7" s="236" t="n">
        <v>601</v>
      </c>
      <c r="B7" s="255" t="s">
        <v>13</v>
      </c>
      <c r="C7" s="389" t="n">
        <v>5</v>
      </c>
      <c r="D7" s="390" t="n"/>
      <c r="E7" s="389" t="n">
        <v>5</v>
      </c>
    </row>
    <row ht="30" outlineLevel="0" r="8">
      <c r="A8" s="212" t="n">
        <v>602</v>
      </c>
      <c r="B8" s="258" t="s">
        <v>53</v>
      </c>
      <c r="C8" s="389" t="n">
        <v>5</v>
      </c>
      <c r="D8" s="390" t="n"/>
      <c r="E8" s="389" t="n">
        <v>5</v>
      </c>
    </row>
    <row ht="30" outlineLevel="0" r="9">
      <c r="A9" s="212" t="n">
        <v>604</v>
      </c>
      <c r="B9" s="258" t="s">
        <v>49</v>
      </c>
      <c r="C9" s="389" t="n">
        <v>5</v>
      </c>
      <c r="D9" s="390" t="n"/>
      <c r="E9" s="389" t="n">
        <v>5</v>
      </c>
    </row>
    <row ht="45" outlineLevel="0" r="10">
      <c r="A10" s="212" t="n">
        <v>605</v>
      </c>
      <c r="B10" s="258" t="s">
        <v>45</v>
      </c>
      <c r="C10" s="389" t="n">
        <v>5</v>
      </c>
      <c r="D10" s="390" t="n"/>
      <c r="E10" s="389" t="n">
        <v>5</v>
      </c>
    </row>
    <row ht="30" outlineLevel="0" r="11">
      <c r="A11" s="212" t="n">
        <v>606</v>
      </c>
      <c r="B11" s="258" t="s">
        <v>46</v>
      </c>
      <c r="C11" s="389" t="n">
        <v>5</v>
      </c>
      <c r="D11" s="390" t="n"/>
      <c r="E11" s="389" t="n">
        <v>5</v>
      </c>
    </row>
    <row ht="30" outlineLevel="0" r="12">
      <c r="A12" s="212" t="n">
        <v>607</v>
      </c>
      <c r="B12" s="258" t="s">
        <v>50</v>
      </c>
      <c r="C12" s="389" t="n">
        <v>5</v>
      </c>
      <c r="D12" s="390" t="n"/>
      <c r="E12" s="389" t="n">
        <v>5</v>
      </c>
    </row>
    <row ht="45" outlineLevel="0" r="13">
      <c r="A13" s="212" t="n">
        <v>609</v>
      </c>
      <c r="B13" s="258" t="s">
        <v>37</v>
      </c>
      <c r="C13" s="389" t="n">
        <v>5</v>
      </c>
      <c r="D13" s="390" t="n"/>
      <c r="E13" s="389" t="n">
        <v>5</v>
      </c>
    </row>
    <row ht="30" outlineLevel="0" r="14">
      <c r="A14" s="212" t="n">
        <v>611</v>
      </c>
      <c r="B14" s="258" t="s">
        <v>47</v>
      </c>
      <c r="C14" s="389" t="n">
        <v>5</v>
      </c>
      <c r="D14" s="390" t="n"/>
      <c r="E14" s="389" t="n">
        <v>5</v>
      </c>
    </row>
    <row ht="30" outlineLevel="0" r="15">
      <c r="A15" s="212" t="n">
        <v>617</v>
      </c>
      <c r="B15" s="258" t="s">
        <v>42</v>
      </c>
      <c r="C15" s="389" t="n">
        <v>5</v>
      </c>
      <c r="D15" s="390" t="n"/>
      <c r="E15" s="389" t="n">
        <v>5</v>
      </c>
    </row>
    <row ht="30" outlineLevel="0" r="16">
      <c r="A16" s="212" t="n">
        <v>618</v>
      </c>
      <c r="B16" s="258" t="s">
        <v>38</v>
      </c>
      <c r="C16" s="389" t="n">
        <v>5</v>
      </c>
      <c r="D16" s="390" t="n"/>
      <c r="E16" s="389" t="n">
        <v>5</v>
      </c>
    </row>
    <row ht="30" outlineLevel="0" r="17">
      <c r="A17" s="212" t="n">
        <v>619</v>
      </c>
      <c r="B17" s="258" t="s">
        <v>44</v>
      </c>
      <c r="C17" s="389" t="n">
        <v>5</v>
      </c>
      <c r="D17" s="390" t="n"/>
      <c r="E17" s="389" t="n">
        <v>5</v>
      </c>
    </row>
    <row ht="30" outlineLevel="0" r="18">
      <c r="A18" s="212" t="n">
        <v>620</v>
      </c>
      <c r="B18" s="258" t="s">
        <v>48</v>
      </c>
      <c r="C18" s="389" t="n">
        <v>5</v>
      </c>
      <c r="D18" s="390" t="n"/>
      <c r="E18" s="389" t="n">
        <v>5</v>
      </c>
    </row>
    <row ht="30" outlineLevel="0" r="19">
      <c r="A19" s="212" t="n">
        <v>621</v>
      </c>
      <c r="B19" s="258" t="s">
        <v>54</v>
      </c>
      <c r="C19" s="389" t="n">
        <v>5</v>
      </c>
      <c r="D19" s="390" t="n"/>
      <c r="E19" s="389" t="n">
        <v>5</v>
      </c>
    </row>
    <row ht="45" outlineLevel="0" r="20">
      <c r="A20" s="212" t="n">
        <v>624</v>
      </c>
      <c r="B20" s="258" t="s">
        <v>40</v>
      </c>
      <c r="C20" s="389" t="n">
        <v>5</v>
      </c>
      <c r="D20" s="390" t="n"/>
      <c r="E20" s="389" t="n">
        <v>5</v>
      </c>
    </row>
    <row outlineLevel="0" r="21">
      <c r="A21" s="391" t="n">
        <v>643</v>
      </c>
      <c r="B21" s="392" t="s">
        <v>52</v>
      </c>
      <c r="C21" s="393" t="n">
        <v>5</v>
      </c>
      <c r="D21" s="394" t="n"/>
      <c r="E21" s="389" t="n">
        <v>5</v>
      </c>
    </row>
  </sheetData>
  <mergeCells count="2">
    <mergeCell ref="A1:E1"/>
    <mergeCell ref="A2:E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84"/>
</worksheet>
</file>

<file path=xl/worksheets/sheet2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1.9999996616676"/>
    <col customWidth="true" max="5" min="5" outlineLevel="0" style="3" width="13.1406246325922"/>
    <col bestFit="true" customWidth="true" max="6" min="6" outlineLevel="0" style="3" width="14.1406254784231"/>
    <col bestFit="true" customWidth="true" max="10" min="7" outlineLevel="0" style="3" width="9.14062530925693"/>
    <col bestFit="true" customWidth="true" max="11" min="11" outlineLevel="0" style="3" width="11.8554691511089"/>
    <col bestFit="true" customWidth="true" max="16384" min="12" outlineLevel="0" style="3" width="9.14062530925693"/>
  </cols>
  <sheetData>
    <row customFormat="true" ht="20.25" outlineLevel="0" r="1" s="197">
      <c r="A1" s="198" t="s">
        <v>120</v>
      </c>
      <c r="B1" s="198" t="s"/>
      <c r="C1" s="198" t="s"/>
      <c r="D1" s="198" t="s"/>
      <c r="E1" s="198" t="s"/>
    </row>
    <row ht="19.5" outlineLevel="0" r="2">
      <c r="A2" s="199" t="s">
        <v>224</v>
      </c>
      <c r="B2" s="199" t="s"/>
      <c r="C2" s="199" t="s"/>
      <c r="D2" s="199" t="s"/>
      <c r="E2" s="199" t="s"/>
    </row>
    <row ht="105" outlineLevel="0" r="5">
      <c r="A5" s="53" t="s">
        <v>35</v>
      </c>
      <c r="B5" s="53" t="s">
        <v>2</v>
      </c>
      <c r="C5" s="248" t="s">
        <v>225</v>
      </c>
      <c r="D5" s="248" t="s">
        <v>226</v>
      </c>
      <c r="E5" s="53" t="s">
        <v>140</v>
      </c>
    </row>
    <row outlineLevel="0" r="6">
      <c r="A6" s="212" t="n">
        <v>600</v>
      </c>
      <c r="B6" s="258" t="s">
        <v>51</v>
      </c>
      <c r="C6" s="342" t="n">
        <v>0</v>
      </c>
      <c r="D6" s="342" t="n">
        <v>0</v>
      </c>
      <c r="E6" s="395" t="n">
        <v>5</v>
      </c>
    </row>
    <row outlineLevel="0" r="7">
      <c r="A7" s="212" t="n">
        <v>601</v>
      </c>
      <c r="B7" s="258" t="s">
        <v>13</v>
      </c>
      <c r="C7" s="304" t="n">
        <v>1</v>
      </c>
      <c r="D7" s="350" t="n">
        <v>20</v>
      </c>
      <c r="E7" s="396" t="n">
        <v>4</v>
      </c>
      <c r="F7" s="226" t="n"/>
    </row>
    <row ht="30" outlineLevel="0" r="8">
      <c r="A8" s="212" t="n">
        <v>602</v>
      </c>
      <c r="B8" s="258" t="s">
        <v>53</v>
      </c>
      <c r="C8" s="304" t="n">
        <v>4</v>
      </c>
      <c r="D8" s="350" t="n">
        <v>80</v>
      </c>
      <c r="E8" s="396" t="n">
        <v>1</v>
      </c>
      <c r="F8" s="226" t="n"/>
    </row>
    <row ht="30" outlineLevel="0" r="9">
      <c r="A9" s="212" t="n">
        <v>604</v>
      </c>
      <c r="B9" s="258" t="s">
        <v>49</v>
      </c>
      <c r="C9" s="304" t="n">
        <v>0</v>
      </c>
      <c r="D9" s="350" t="n">
        <v>0</v>
      </c>
      <c r="E9" s="396" t="n">
        <v>5</v>
      </c>
      <c r="F9" s="226" t="n"/>
    </row>
    <row customHeight="true" ht="45" outlineLevel="0" r="10">
      <c r="A10" s="212" t="n">
        <v>605</v>
      </c>
      <c r="B10" s="258" t="s">
        <v>45</v>
      </c>
      <c r="C10" s="304" t="n">
        <v>2</v>
      </c>
      <c r="D10" s="350" t="n">
        <v>40</v>
      </c>
      <c r="E10" s="396" t="n">
        <v>2</v>
      </c>
      <c r="F10" s="226" t="n"/>
      <c r="K10" s="208" t="n"/>
    </row>
    <row ht="30" outlineLevel="0" r="11">
      <c r="A11" s="212" t="n">
        <v>606</v>
      </c>
      <c r="B11" s="258" t="s">
        <v>46</v>
      </c>
      <c r="C11" s="304" t="n">
        <v>1</v>
      </c>
      <c r="D11" s="350" t="n">
        <v>20</v>
      </c>
      <c r="E11" s="396" t="n">
        <v>3</v>
      </c>
      <c r="F11" s="226" t="n"/>
    </row>
    <row ht="30" outlineLevel="0" r="12">
      <c r="A12" s="212" t="n">
        <v>607</v>
      </c>
      <c r="B12" s="258" t="s">
        <v>50</v>
      </c>
      <c r="C12" s="304" t="n">
        <v>2</v>
      </c>
      <c r="D12" s="350" t="n">
        <v>40</v>
      </c>
      <c r="E12" s="396" t="n">
        <v>2</v>
      </c>
      <c r="F12" s="226" t="n"/>
    </row>
    <row ht="45" outlineLevel="0" r="13">
      <c r="A13" s="212" t="n">
        <v>609</v>
      </c>
      <c r="B13" s="258" t="s">
        <v>37</v>
      </c>
      <c r="C13" s="304" t="n">
        <v>1</v>
      </c>
      <c r="D13" s="350" t="n">
        <v>20</v>
      </c>
      <c r="E13" s="396" t="n">
        <v>4</v>
      </c>
      <c r="F13" s="226" t="n"/>
    </row>
    <row ht="30" outlineLevel="0" r="14">
      <c r="A14" s="212" t="n">
        <v>611</v>
      </c>
      <c r="B14" s="258" t="s">
        <v>47</v>
      </c>
      <c r="C14" s="304" t="n">
        <v>1</v>
      </c>
      <c r="D14" s="350" t="n">
        <v>20</v>
      </c>
      <c r="E14" s="396" t="n">
        <v>3</v>
      </c>
      <c r="F14" s="226" t="n"/>
    </row>
    <row ht="30" outlineLevel="0" r="15">
      <c r="A15" s="212" t="n">
        <v>617</v>
      </c>
      <c r="B15" s="258" t="s">
        <v>42</v>
      </c>
      <c r="C15" s="304" t="n">
        <v>1</v>
      </c>
      <c r="D15" s="350" t="n">
        <v>20</v>
      </c>
      <c r="E15" s="396" t="n">
        <v>3</v>
      </c>
      <c r="F15" s="226" t="n"/>
    </row>
    <row ht="30" outlineLevel="0" r="16">
      <c r="A16" s="212" t="n">
        <v>618</v>
      </c>
      <c r="B16" s="258" t="s">
        <v>38</v>
      </c>
      <c r="C16" s="304" t="n">
        <v>1</v>
      </c>
      <c r="D16" s="350" t="n">
        <v>20</v>
      </c>
      <c r="E16" s="396" t="n">
        <v>4</v>
      </c>
      <c r="F16" s="226" t="n"/>
    </row>
    <row ht="30" outlineLevel="0" r="17">
      <c r="A17" s="212" t="n">
        <v>619</v>
      </c>
      <c r="B17" s="258" t="s">
        <v>44</v>
      </c>
      <c r="C17" s="304" t="n">
        <v>3</v>
      </c>
      <c r="D17" s="350" t="n">
        <v>60</v>
      </c>
      <c r="E17" s="396" t="n">
        <v>3</v>
      </c>
      <c r="F17" s="226" t="n"/>
    </row>
    <row ht="30" outlineLevel="0" r="18">
      <c r="A18" s="212" t="n">
        <v>620</v>
      </c>
      <c r="B18" s="258" t="s">
        <v>48</v>
      </c>
      <c r="C18" s="304" t="n">
        <v>4</v>
      </c>
      <c r="D18" s="350" t="n">
        <v>80</v>
      </c>
      <c r="E18" s="396" t="n">
        <v>2</v>
      </c>
      <c r="F18" s="226" t="n"/>
    </row>
    <row ht="30" outlineLevel="0" r="19">
      <c r="A19" s="212" t="n">
        <v>621</v>
      </c>
      <c r="B19" s="258" t="s">
        <v>54</v>
      </c>
      <c r="C19" s="304" t="n">
        <v>4</v>
      </c>
      <c r="D19" s="350" t="n">
        <v>80</v>
      </c>
      <c r="E19" s="396" t="n">
        <v>1</v>
      </c>
      <c r="F19" s="226" t="n"/>
    </row>
    <row ht="45" outlineLevel="0" r="20">
      <c r="A20" s="212" t="n">
        <v>624</v>
      </c>
      <c r="B20" s="258" t="s">
        <v>40</v>
      </c>
      <c r="C20" s="304" t="n">
        <v>1</v>
      </c>
      <c r="D20" s="350" t="n">
        <v>20</v>
      </c>
      <c r="E20" s="396" t="n">
        <v>3</v>
      </c>
      <c r="F20" s="226" t="n"/>
    </row>
    <row outlineLevel="0" r="21">
      <c r="A21" s="391" t="n">
        <v>643</v>
      </c>
      <c r="B21" s="392" t="s">
        <v>52</v>
      </c>
      <c r="C21" s="219" t="n">
        <v>0</v>
      </c>
      <c r="D21" s="219" t="n">
        <v>0</v>
      </c>
      <c r="E21" s="394" t="n">
        <v>5</v>
      </c>
    </row>
    <row outlineLevel="0" r="22">
      <c r="A22" s="279" t="n"/>
      <c r="B22" s="279" t="n"/>
      <c r="C22" s="397" t="n"/>
      <c r="D22" s="363" t="n"/>
      <c r="E22" s="398" t="n"/>
      <c r="F22" s="226" t="n"/>
    </row>
    <row outlineLevel="0" r="23">
      <c r="A23" s="279" t="n"/>
      <c r="B23" s="279" t="s">
        <v>23</v>
      </c>
      <c r="C23" s="397" t="n"/>
      <c r="D23" s="281" t="n">
        <f aca="false" ca="true" dt2D="false" dtr="false" t="normal">SUBTOTAL(9, D7:D21)</f>
        <v>520</v>
      </c>
      <c r="E23" s="398" t="n"/>
      <c r="F23" s="226" t="n"/>
    </row>
    <row outlineLevel="0" r="24">
      <c r="A24" s="279" t="n"/>
      <c r="B24" s="282" t="s">
        <v>24</v>
      </c>
      <c r="C24" s="397" t="n"/>
      <c r="D24" s="283" t="n">
        <f aca="false" ca="false" dt2D="false" dtr="false" t="normal">ROUND(D23/16, 2)</f>
        <v>32.5</v>
      </c>
      <c r="E24" s="398" t="n"/>
      <c r="F24" s="226" t="n"/>
    </row>
    <row outlineLevel="0" r="25">
      <c r="A25" s="57" t="n"/>
      <c r="B25" s="57" t="n"/>
      <c r="C25" s="372" t="n"/>
      <c r="D25" s="359" t="n"/>
      <c r="E25" s="359" t="n"/>
      <c r="F25" s="226" t="n"/>
    </row>
    <row outlineLevel="0" r="26">
      <c r="C26" s="365" t="n">
        <f aca="false" ca="false" dt2D="false" dtr="false" t="normal">SUM(C7:C20)</f>
        <v>26</v>
      </c>
      <c r="D26" s="158" t="n"/>
      <c r="E26" s="158" t="n"/>
      <c r="F26" s="158" t="n"/>
    </row>
  </sheetData>
  <mergeCells count="2">
    <mergeCell ref="A1:E1"/>
    <mergeCell ref="A2:E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2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1.9999996616676"/>
    <col customWidth="true" max="5" min="5" outlineLevel="0" style="3" width="13.1406246325922"/>
    <col bestFit="true" customWidth="true" max="6" min="6" outlineLevel="0" style="3" width="14.1406254784231"/>
    <col bestFit="true" customWidth="true" max="10" min="7" outlineLevel="0" style="3" width="9.14062530925693"/>
    <col bestFit="true" customWidth="true" max="11" min="11" outlineLevel="0" style="3" width="11.8554691511089"/>
    <col bestFit="true" customWidth="true" max="16384" min="12" outlineLevel="0" style="3" width="9.14062530925693"/>
  </cols>
  <sheetData>
    <row customFormat="true" ht="20.25" outlineLevel="0" r="1" s="197">
      <c r="A1" s="198" t="s">
        <v>120</v>
      </c>
      <c r="B1" s="198" t="s"/>
      <c r="C1" s="198" t="s"/>
      <c r="D1" s="198" t="s"/>
      <c r="E1" s="198" t="s"/>
    </row>
    <row customHeight="true" ht="52.5" outlineLevel="0" r="2">
      <c r="A2" s="199" t="s">
        <v>227</v>
      </c>
      <c r="B2" s="199" t="s"/>
      <c r="C2" s="199" t="s"/>
      <c r="D2" s="199" t="s"/>
      <c r="E2" s="199" t="s"/>
    </row>
    <row ht="165" outlineLevel="0" r="5">
      <c r="A5" s="53" t="s">
        <v>35</v>
      </c>
      <c r="B5" s="53" t="s">
        <v>2</v>
      </c>
      <c r="C5" s="248" t="s">
        <v>228</v>
      </c>
      <c r="D5" s="248" t="s">
        <v>226</v>
      </c>
      <c r="E5" s="248" t="s">
        <v>140</v>
      </c>
    </row>
    <row outlineLevel="0" r="6">
      <c r="A6" s="236" t="n">
        <v>600</v>
      </c>
      <c r="B6" s="255" t="s">
        <v>51</v>
      </c>
      <c r="C6" s="304" t="n"/>
      <c r="D6" s="350" t="n"/>
      <c r="E6" s="350" t="n"/>
    </row>
    <row outlineLevel="0" r="7">
      <c r="A7" s="236" t="n">
        <v>601</v>
      </c>
      <c r="B7" s="255" t="s">
        <v>13</v>
      </c>
      <c r="C7" s="304" t="n"/>
      <c r="D7" s="350" t="n"/>
      <c r="E7" s="350" t="n"/>
      <c r="F7" s="226" t="n"/>
    </row>
    <row ht="30" outlineLevel="0" r="8">
      <c r="A8" s="212" t="n">
        <v>602</v>
      </c>
      <c r="B8" s="258" t="s">
        <v>53</v>
      </c>
      <c r="C8" s="304" t="n"/>
      <c r="D8" s="350" t="n"/>
      <c r="E8" s="350" t="n"/>
      <c r="F8" s="226" t="n"/>
    </row>
    <row ht="30" outlineLevel="0" r="9">
      <c r="A9" s="212" t="n">
        <v>604</v>
      </c>
      <c r="B9" s="258" t="s">
        <v>49</v>
      </c>
      <c r="C9" s="304" t="n"/>
      <c r="D9" s="350" t="n"/>
      <c r="E9" s="350" t="n"/>
      <c r="F9" s="226" t="n"/>
    </row>
    <row ht="45" outlineLevel="0" r="10">
      <c r="A10" s="212" t="n">
        <v>605</v>
      </c>
      <c r="B10" s="258" t="s">
        <v>45</v>
      </c>
      <c r="C10" s="304" t="n"/>
      <c r="D10" s="350" t="n"/>
      <c r="E10" s="350" t="n"/>
      <c r="F10" s="226" t="n"/>
      <c r="K10" s="208" t="n"/>
    </row>
    <row ht="30" outlineLevel="0" r="11">
      <c r="A11" s="212" t="n">
        <v>606</v>
      </c>
      <c r="B11" s="258" t="s">
        <v>46</v>
      </c>
      <c r="C11" s="304" t="n">
        <v>1</v>
      </c>
      <c r="D11" s="350" t="n">
        <v>20</v>
      </c>
      <c r="E11" s="350" t="n">
        <v>4</v>
      </c>
      <c r="F11" s="226" t="n"/>
      <c r="G11" s="399" t="n">
        <v>1</v>
      </c>
      <c r="H11" s="354" t="n">
        <f aca="false" ca="false" dt2D="false" dtr="false" t="normal">ROUND(G11/5*100, 2)</f>
        <v>20</v>
      </c>
    </row>
    <row ht="30" outlineLevel="0" r="12">
      <c r="A12" s="212" t="n">
        <v>607</v>
      </c>
      <c r="B12" s="258" t="s">
        <v>50</v>
      </c>
      <c r="C12" s="304" t="n">
        <v>6</v>
      </c>
      <c r="D12" s="350" t="n">
        <v>120</v>
      </c>
      <c r="E12" s="350" t="n">
        <v>0</v>
      </c>
      <c r="F12" s="226" t="n"/>
      <c r="G12" s="399" t="n">
        <v>6</v>
      </c>
      <c r="H12" s="354" t="n">
        <f aca="false" ca="false" dt2D="false" dtr="false" t="normal">ROUND(G12/5*100, 2)</f>
        <v>120</v>
      </c>
    </row>
    <row ht="45" outlineLevel="0" r="13">
      <c r="A13" s="212" t="n">
        <v>609</v>
      </c>
      <c r="B13" s="258" t="s">
        <v>37</v>
      </c>
      <c r="C13" s="304" t="n"/>
      <c r="D13" s="350" t="n"/>
      <c r="E13" s="350" t="n"/>
      <c r="F13" s="226" t="n"/>
      <c r="G13" s="400" t="n"/>
      <c r="H13" s="401" t="n"/>
    </row>
    <row ht="30" outlineLevel="0" r="14">
      <c r="A14" s="212" t="n">
        <v>611</v>
      </c>
      <c r="B14" s="258" t="s">
        <v>47</v>
      </c>
      <c r="C14" s="304" t="n">
        <v>2</v>
      </c>
      <c r="D14" s="350" t="n">
        <v>40</v>
      </c>
      <c r="E14" s="350" t="n">
        <v>3</v>
      </c>
      <c r="F14" s="226" t="n"/>
      <c r="G14" s="399" t="n">
        <v>2</v>
      </c>
      <c r="H14" s="354" t="n">
        <f aca="false" ca="false" dt2D="false" dtr="false" t="normal">ROUND(G14/5*100, 2)</f>
        <v>40</v>
      </c>
    </row>
    <row ht="30" outlineLevel="0" r="15">
      <c r="A15" s="212" t="n">
        <v>617</v>
      </c>
      <c r="B15" s="258" t="s">
        <v>42</v>
      </c>
      <c r="C15" s="304" t="n"/>
      <c r="D15" s="350" t="n"/>
      <c r="E15" s="350" t="n"/>
      <c r="F15" s="226" t="n"/>
      <c r="G15" s="400" t="n"/>
      <c r="H15" s="401" t="n"/>
    </row>
    <row ht="30" outlineLevel="0" r="16">
      <c r="A16" s="212" t="n">
        <v>618</v>
      </c>
      <c r="B16" s="258" t="s">
        <v>38</v>
      </c>
      <c r="C16" s="304" t="n"/>
      <c r="D16" s="350" t="n"/>
      <c r="E16" s="350" t="n"/>
      <c r="F16" s="226" t="n"/>
      <c r="G16" s="400" t="n"/>
      <c r="H16" s="401" t="n"/>
    </row>
    <row ht="30" outlineLevel="0" r="17">
      <c r="A17" s="212" t="n">
        <v>619</v>
      </c>
      <c r="B17" s="258" t="s">
        <v>44</v>
      </c>
      <c r="C17" s="304" t="n"/>
      <c r="D17" s="350" t="n"/>
      <c r="E17" s="350" t="n"/>
      <c r="F17" s="226" t="n"/>
      <c r="G17" s="400" t="n"/>
      <c r="H17" s="401" t="n"/>
    </row>
    <row ht="30" outlineLevel="0" r="18">
      <c r="A18" s="212" t="n">
        <v>620</v>
      </c>
      <c r="B18" s="258" t="s">
        <v>48</v>
      </c>
      <c r="C18" s="304" t="n">
        <v>5</v>
      </c>
      <c r="D18" s="350" t="n">
        <v>100</v>
      </c>
      <c r="E18" s="350" t="n">
        <v>0</v>
      </c>
      <c r="F18" s="226" t="n"/>
      <c r="G18" s="399" t="n">
        <v>5</v>
      </c>
      <c r="H18" s="354" t="n">
        <f aca="false" ca="false" dt2D="false" dtr="false" t="normal">ROUND(G18/5*100, 2)</f>
        <v>100</v>
      </c>
    </row>
    <row ht="30" outlineLevel="0" r="19">
      <c r="A19" s="212" t="n">
        <v>621</v>
      </c>
      <c r="B19" s="258" t="s">
        <v>54</v>
      </c>
      <c r="C19" s="304" t="n"/>
      <c r="D19" s="350" t="n"/>
      <c r="E19" s="350" t="n"/>
      <c r="F19" s="226" t="n"/>
    </row>
    <row ht="45" outlineLevel="0" r="20">
      <c r="A20" s="212" t="n">
        <v>624</v>
      </c>
      <c r="B20" s="258" t="s">
        <v>40</v>
      </c>
      <c r="C20" s="304" t="n"/>
      <c r="D20" s="350" t="n"/>
      <c r="E20" s="350" t="n"/>
      <c r="F20" s="226" t="n"/>
    </row>
    <row ht="30" outlineLevel="0" r="21">
      <c r="A21" s="212" t="n">
        <v>643</v>
      </c>
      <c r="B21" s="258" t="s">
        <v>52</v>
      </c>
      <c r="C21" s="304" t="n"/>
      <c r="D21" s="350" t="n"/>
      <c r="E21" s="350" t="n"/>
    </row>
    <row outlineLevel="0" r="22">
      <c r="A22" s="279" t="n"/>
      <c r="B22" s="279" t="n"/>
      <c r="C22" s="402" t="n"/>
      <c r="D22" s="403" t="n"/>
      <c r="E22" s="403" t="n"/>
      <c r="F22" s="226" t="n"/>
    </row>
    <row outlineLevel="0" r="23">
      <c r="A23" s="279" t="n"/>
      <c r="B23" s="279" t="s">
        <v>23</v>
      </c>
      <c r="C23" s="402" t="n"/>
      <c r="D23" s="373" t="n">
        <f aca="false" ca="true" dt2D="false" dtr="false" t="normal">SUBTOTAL(9, D7:D20)</f>
        <v>280</v>
      </c>
      <c r="E23" s="403" t="n"/>
      <c r="F23" s="226" t="n"/>
    </row>
    <row outlineLevel="0" r="24">
      <c r="A24" s="279" t="n"/>
      <c r="B24" s="282" t="s">
        <v>24</v>
      </c>
      <c r="C24" s="402" t="n"/>
      <c r="D24" s="374" t="n">
        <f aca="false" ca="false" dt2D="false" dtr="false" t="normal">ROUND(D23/16, 2)</f>
        <v>17.5</v>
      </c>
      <c r="E24" s="403" t="n"/>
      <c r="F24" s="226" t="n"/>
    </row>
    <row outlineLevel="0" r="25">
      <c r="A25" s="57" t="n"/>
      <c r="B25" s="57" t="n"/>
      <c r="C25" s="372" t="n"/>
      <c r="D25" s="359" t="n"/>
      <c r="E25" s="359" t="n"/>
      <c r="F25" s="226" t="n"/>
    </row>
    <row outlineLevel="0" r="26">
      <c r="C26" s="365" t="n">
        <f aca="false" ca="false" dt2D="false" dtr="false" t="normal">SUM(C7:C20)</f>
        <v>14</v>
      </c>
      <c r="D26" s="158" t="n"/>
      <c r="E26" s="158" t="n"/>
      <c r="F26" s="158" t="n"/>
    </row>
  </sheetData>
  <mergeCells count="2">
    <mergeCell ref="A1:E1"/>
    <mergeCell ref="A2:E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3"/>
</worksheet>
</file>

<file path=xl/worksheets/sheet2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4" width="24.8554679669456"/>
    <col customWidth="true" max="4" min="4" outlineLevel="0" style="4" width="26.1406248017584"/>
    <col customWidth="true" max="5" min="5" outlineLevel="0" style="4" width="21.9999996616676"/>
    <col customWidth="true" max="6" min="6" outlineLevel="0" style="3" width="13.1406246325922"/>
    <col customWidth="true" max="7" min="7" outlineLevel="0" style="3" width="28.8554686436103"/>
    <col bestFit="true" customWidth="true" max="16384" min="8" outlineLevel="0" style="3" width="9.14062530925693"/>
  </cols>
  <sheetData>
    <row customFormat="true" customHeight="true" ht="47.25" outlineLevel="0" r="1" s="197">
      <c r="A1" s="198" t="s">
        <v>229</v>
      </c>
      <c r="B1" s="198" t="s"/>
      <c r="C1" s="198" t="s"/>
      <c r="D1" s="198" t="s"/>
      <c r="E1" s="198" t="s"/>
      <c r="F1" s="198" t="s"/>
      <c r="G1" s="227" t="s">
        <v>230</v>
      </c>
    </row>
    <row customHeight="true" ht="46.5" outlineLevel="0" r="2">
      <c r="A2" s="199" t="s">
        <v>231</v>
      </c>
      <c r="B2" s="199" t="s"/>
      <c r="C2" s="199" t="s"/>
      <c r="D2" s="199" t="s"/>
      <c r="E2" s="199" t="s"/>
      <c r="F2" s="199" t="s"/>
    </row>
    <row ht="105" outlineLevel="0" r="4">
      <c r="A4" s="53" t="s">
        <v>35</v>
      </c>
      <c r="B4" s="53" t="s">
        <v>2</v>
      </c>
      <c r="C4" s="404" t="s">
        <v>232</v>
      </c>
      <c r="D4" s="404" t="s">
        <v>233</v>
      </c>
      <c r="E4" s="404" t="s">
        <v>234</v>
      </c>
      <c r="F4" s="248" t="s">
        <v>140</v>
      </c>
    </row>
    <row outlineLevel="0" r="5">
      <c r="A5" s="58" t="n">
        <v>601</v>
      </c>
      <c r="B5" s="405" t="s">
        <v>13</v>
      </c>
      <c r="C5" s="257" t="n">
        <v>0</v>
      </c>
      <c r="D5" s="406" t="n">
        <v>3900000</v>
      </c>
      <c r="E5" s="257" t="n">
        <v>0</v>
      </c>
      <c r="F5" s="257" t="n">
        <v>5</v>
      </c>
      <c r="I5" s="407" t="n">
        <v>0</v>
      </c>
      <c r="J5" s="407" t="n">
        <v>3900000</v>
      </c>
    </row>
    <row ht="30" outlineLevel="0" r="6">
      <c r="A6" s="21" t="n">
        <v>602</v>
      </c>
      <c r="B6" s="332" t="s">
        <v>53</v>
      </c>
      <c r="C6" s="408" t="n"/>
      <c r="D6" s="408" t="n"/>
      <c r="E6" s="408" t="n"/>
      <c r="F6" s="408" t="n"/>
      <c r="I6" s="409" t="n"/>
      <c r="J6" s="409" t="n"/>
    </row>
    <row ht="30" outlineLevel="0" r="7">
      <c r="A7" s="21" t="n">
        <v>604</v>
      </c>
      <c r="B7" s="332" t="s">
        <v>49</v>
      </c>
      <c r="C7" s="408" t="n"/>
      <c r="D7" s="408" t="n"/>
      <c r="E7" s="408" t="n"/>
      <c r="F7" s="408" t="n"/>
      <c r="I7" s="409" t="n"/>
      <c r="J7" s="409" t="n"/>
    </row>
    <row ht="45" outlineLevel="0" r="8">
      <c r="A8" s="21" t="n">
        <v>605</v>
      </c>
      <c r="B8" s="332" t="s">
        <v>45</v>
      </c>
      <c r="C8" s="408" t="n"/>
      <c r="D8" s="408" t="n"/>
      <c r="E8" s="408" t="n"/>
      <c r="F8" s="408" t="n"/>
      <c r="I8" s="409" t="n"/>
      <c r="J8" s="409" t="n"/>
    </row>
    <row ht="30" outlineLevel="0" r="9">
      <c r="A9" s="21" t="n">
        <v>606</v>
      </c>
      <c r="B9" s="332" t="s">
        <v>46</v>
      </c>
      <c r="C9" s="406" t="n">
        <v>15038394.96</v>
      </c>
      <c r="D9" s="406" t="n">
        <v>94078549.87</v>
      </c>
      <c r="E9" s="257" t="n">
        <v>15.98</v>
      </c>
      <c r="F9" s="257" t="n">
        <v>0</v>
      </c>
      <c r="I9" s="409" t="n"/>
      <c r="J9" s="409" t="n"/>
    </row>
    <row ht="30" outlineLevel="0" r="10">
      <c r="A10" s="21" t="n">
        <v>607</v>
      </c>
      <c r="B10" s="332" t="s">
        <v>50</v>
      </c>
      <c r="C10" s="408" t="n"/>
      <c r="D10" s="408" t="n"/>
      <c r="E10" s="408" t="n"/>
      <c r="F10" s="408" t="n"/>
      <c r="I10" s="409" t="n"/>
      <c r="J10" s="409" t="n"/>
    </row>
    <row ht="45" outlineLevel="0" r="11">
      <c r="A11" s="21" t="n">
        <v>609</v>
      </c>
      <c r="B11" s="332" t="s">
        <v>37</v>
      </c>
      <c r="C11" s="406" t="n">
        <v>854581</v>
      </c>
      <c r="D11" s="406" t="n">
        <v>4163805808</v>
      </c>
      <c r="E11" s="257" t="n">
        <v>0.02</v>
      </c>
      <c r="F11" s="257" t="n">
        <v>5</v>
      </c>
      <c r="I11" s="407" t="n">
        <v>854581</v>
      </c>
      <c r="J11" s="407" t="n">
        <v>4163805808</v>
      </c>
    </row>
    <row ht="30" outlineLevel="0" r="12">
      <c r="A12" s="21" t="n">
        <v>611</v>
      </c>
      <c r="B12" s="332" t="s">
        <v>47</v>
      </c>
      <c r="C12" s="408" t="n"/>
      <c r="D12" s="408" t="n"/>
      <c r="E12" s="408" t="n"/>
      <c r="F12" s="408" t="n"/>
      <c r="I12" s="409" t="n"/>
      <c r="J12" s="409" t="n"/>
    </row>
    <row ht="30" outlineLevel="0" r="13">
      <c r="A13" s="21" t="n">
        <v>617</v>
      </c>
      <c r="B13" s="332" t="s">
        <v>42</v>
      </c>
      <c r="C13" s="408" t="n"/>
      <c r="D13" s="408" t="n"/>
      <c r="E13" s="408" t="n"/>
      <c r="F13" s="408" t="n"/>
      <c r="I13" s="409" t="n"/>
      <c r="J13" s="409" t="n"/>
    </row>
    <row ht="30" outlineLevel="0" r="14">
      <c r="A14" s="21" t="n">
        <v>618</v>
      </c>
      <c r="B14" s="332" t="s">
        <v>38</v>
      </c>
      <c r="C14" s="408" t="n"/>
      <c r="D14" s="408" t="n"/>
      <c r="E14" s="408" t="n"/>
      <c r="F14" s="408" t="n"/>
      <c r="I14" s="409" t="n"/>
      <c r="J14" s="409" t="n"/>
    </row>
    <row ht="30" outlineLevel="0" r="15">
      <c r="A15" s="21" t="n">
        <v>619</v>
      </c>
      <c r="B15" s="332" t="s">
        <v>44</v>
      </c>
      <c r="C15" s="408" t="n"/>
      <c r="D15" s="408" t="n"/>
      <c r="E15" s="408" t="n"/>
      <c r="F15" s="408" t="n"/>
      <c r="I15" s="409" t="n"/>
      <c r="J15" s="409" t="n"/>
    </row>
    <row ht="30" outlineLevel="0" r="16">
      <c r="A16" s="21" t="n">
        <v>620</v>
      </c>
      <c r="B16" s="332" t="s">
        <v>48</v>
      </c>
      <c r="C16" s="406" t="n">
        <v>3144208</v>
      </c>
      <c r="D16" s="406" t="n">
        <v>214968809.44</v>
      </c>
      <c r="E16" s="257" t="n">
        <v>1.46</v>
      </c>
      <c r="F16" s="257" t="n">
        <v>0</v>
      </c>
      <c r="I16" s="407" t="n">
        <v>44568333</v>
      </c>
      <c r="J16" s="407" t="n">
        <v>2501944628</v>
      </c>
    </row>
    <row ht="30" outlineLevel="0" r="17">
      <c r="A17" s="21" t="n">
        <v>621</v>
      </c>
      <c r="B17" s="332" t="s">
        <v>54</v>
      </c>
      <c r="C17" s="408" t="n"/>
      <c r="D17" s="408" t="n"/>
      <c r="E17" s="408" t="n"/>
      <c r="F17" s="408" t="n"/>
      <c r="I17" s="409" t="n"/>
      <c r="J17" s="409" t="n"/>
    </row>
    <row ht="45" outlineLevel="0" r="18">
      <c r="A18" s="21" t="n">
        <v>624</v>
      </c>
      <c r="B18" s="332" t="s">
        <v>40</v>
      </c>
      <c r="C18" s="406" t="n">
        <v>103035.45</v>
      </c>
      <c r="D18" s="406" t="n">
        <v>36653174.49</v>
      </c>
      <c r="E18" s="257" t="n">
        <v>0.28</v>
      </c>
      <c r="F18" s="257" t="n">
        <v>5</v>
      </c>
      <c r="I18" s="407" t="n">
        <v>2247938</v>
      </c>
      <c r="J18" s="407" t="n">
        <v>33791703</v>
      </c>
    </row>
    <row outlineLevel="0" r="20">
      <c r="B20" s="57" t="s">
        <v>23</v>
      </c>
      <c r="E20" s="410" t="n">
        <v>17.74920267</v>
      </c>
    </row>
    <row outlineLevel="0" r="21">
      <c r="B21" s="60" t="s">
        <v>24</v>
      </c>
      <c r="E21" s="381" t="n">
        <v>1.27</v>
      </c>
    </row>
  </sheetData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72"/>
</worksheet>
</file>

<file path=xl/worksheets/sheet2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7.7109362722236"/>
    <col customWidth="true" max="5" min="5" outlineLevel="0" style="3" width="27.9999993233353"/>
    <col customWidth="true" max="6" min="6" outlineLevel="0" style="3" width="21.1406246325922"/>
    <col customWidth="true" max="7" min="7" outlineLevel="0" style="3" width="13.1406246325922"/>
    <col bestFit="true" customWidth="true" max="8" min="8" outlineLevel="0" style="3" width="9.14062530925693"/>
    <col customWidth="true" max="9" min="9" outlineLevel="0" style="3" width="33.5703114704652"/>
    <col bestFit="true" customWidth="true" max="16384" min="10" outlineLevel="0" style="3" width="9.14062530925693"/>
  </cols>
  <sheetData>
    <row customFormat="true" customHeight="true" ht="53.25" outlineLevel="0" r="1" s="197">
      <c r="A1" s="198" t="s">
        <v>235</v>
      </c>
      <c r="B1" s="198" t="s"/>
      <c r="C1" s="198" t="s"/>
      <c r="D1" s="198" t="s"/>
      <c r="E1" s="198" t="s"/>
      <c r="F1" s="198" t="s"/>
      <c r="G1" s="198" t="s"/>
    </row>
    <row customHeight="true" ht="39.4000015258789" outlineLevel="0" r="2">
      <c r="A2" s="199" t="s">
        <v>236</v>
      </c>
      <c r="B2" s="199" t="s"/>
      <c r="C2" s="199" t="s"/>
      <c r="D2" s="199" t="s"/>
      <c r="E2" s="199" t="s"/>
      <c r="F2" s="199" t="s"/>
      <c r="G2" s="199" t="s"/>
    </row>
    <row ht="30" outlineLevel="0" r="3">
      <c r="B3" s="52" t="s">
        <v>198</v>
      </c>
      <c r="C3" s="52" t="s">
        <v>198</v>
      </c>
      <c r="D3" s="52" t="n"/>
      <c r="E3" s="52" t="n"/>
      <c r="F3" s="52" t="n"/>
    </row>
    <row customHeight="true" ht="153" outlineLevel="0" r="5">
      <c r="A5" s="53" t="s">
        <v>35</v>
      </c>
      <c r="B5" s="53" t="s">
        <v>2</v>
      </c>
      <c r="C5" s="248" t="s">
        <v>237</v>
      </c>
      <c r="D5" s="248" t="s">
        <v>238</v>
      </c>
      <c r="E5" s="248" t="s">
        <v>239</v>
      </c>
      <c r="F5" s="248" t="s">
        <v>240</v>
      </c>
      <c r="G5" s="248" t="s">
        <v>140</v>
      </c>
      <c r="I5" s="52" t="s">
        <v>241</v>
      </c>
    </row>
    <row outlineLevel="0" r="6">
      <c r="A6" s="58" t="n">
        <v>601</v>
      </c>
      <c r="B6" s="405" t="s">
        <v>13</v>
      </c>
      <c r="C6" s="408" t="n"/>
      <c r="D6" s="408" t="n"/>
      <c r="E6" s="408" t="n"/>
      <c r="F6" s="408" t="n"/>
      <c r="G6" s="408" t="n"/>
    </row>
    <row ht="30" outlineLevel="0" r="7">
      <c r="A7" s="21" t="n">
        <v>602</v>
      </c>
      <c r="B7" s="332" t="s">
        <v>53</v>
      </c>
      <c r="C7" s="408" t="n"/>
      <c r="D7" s="408" t="n"/>
      <c r="E7" s="408" t="n"/>
      <c r="F7" s="408" t="n"/>
      <c r="G7" s="408" t="n"/>
    </row>
    <row ht="30" outlineLevel="0" r="8">
      <c r="A8" s="21" t="n">
        <v>604</v>
      </c>
      <c r="B8" s="332" t="s">
        <v>49</v>
      </c>
      <c r="C8" s="408" t="n"/>
      <c r="D8" s="408" t="n"/>
      <c r="E8" s="408" t="n"/>
      <c r="F8" s="408" t="n"/>
      <c r="G8" s="408" t="n"/>
    </row>
    <row ht="45" outlineLevel="0" r="9">
      <c r="A9" s="21" t="n">
        <v>605</v>
      </c>
      <c r="B9" s="332" t="s">
        <v>45</v>
      </c>
      <c r="C9" s="408" t="n"/>
      <c r="D9" s="408" t="n"/>
      <c r="E9" s="408" t="n"/>
      <c r="F9" s="408" t="n"/>
      <c r="G9" s="408" t="n"/>
    </row>
    <row ht="30" outlineLevel="0" r="10">
      <c r="A10" s="21" t="n">
        <v>606</v>
      </c>
      <c r="B10" s="332" t="s">
        <v>46</v>
      </c>
      <c r="C10" s="257" t="n">
        <v>1</v>
      </c>
      <c r="D10" s="257" t="n">
        <v>0</v>
      </c>
      <c r="E10" s="257" t="n">
        <v>1</v>
      </c>
      <c r="F10" s="257" t="n">
        <v>100</v>
      </c>
      <c r="G10" s="257" t="n">
        <v>5</v>
      </c>
    </row>
    <row ht="30" outlineLevel="0" r="11">
      <c r="A11" s="21" t="n">
        <v>607</v>
      </c>
      <c r="B11" s="332" t="s">
        <v>50</v>
      </c>
      <c r="C11" s="408" t="n"/>
      <c r="D11" s="408" t="n"/>
      <c r="E11" s="408" t="n"/>
      <c r="F11" s="408" t="n"/>
      <c r="G11" s="408" t="n"/>
    </row>
    <row ht="45" outlineLevel="0" r="12">
      <c r="A12" s="21" t="n">
        <v>609</v>
      </c>
      <c r="B12" s="332" t="s">
        <v>37</v>
      </c>
      <c r="C12" s="257" t="n">
        <v>1</v>
      </c>
      <c r="D12" s="257" t="n">
        <v>0</v>
      </c>
      <c r="E12" s="257" t="n">
        <v>1</v>
      </c>
      <c r="F12" s="257" t="n">
        <v>100</v>
      </c>
      <c r="G12" s="257" t="n">
        <v>5</v>
      </c>
    </row>
    <row ht="30" outlineLevel="0" r="13">
      <c r="A13" s="21" t="n">
        <v>611</v>
      </c>
      <c r="B13" s="332" t="s">
        <v>47</v>
      </c>
      <c r="C13" s="408" t="n"/>
      <c r="D13" s="408" t="n"/>
      <c r="E13" s="408" t="n"/>
      <c r="F13" s="408" t="n"/>
      <c r="G13" s="408" t="n"/>
    </row>
    <row ht="30" outlineLevel="0" r="14">
      <c r="A14" s="21" t="n">
        <v>617</v>
      </c>
      <c r="B14" s="332" t="s">
        <v>42</v>
      </c>
      <c r="C14" s="408" t="n"/>
      <c r="D14" s="408" t="n"/>
      <c r="E14" s="408" t="n"/>
      <c r="F14" s="408" t="n"/>
      <c r="G14" s="408" t="n"/>
    </row>
    <row ht="30" outlineLevel="0" r="15">
      <c r="A15" s="21" t="n">
        <v>618</v>
      </c>
      <c r="B15" s="332" t="s">
        <v>38</v>
      </c>
      <c r="C15" s="408" t="n"/>
      <c r="D15" s="408" t="n"/>
      <c r="E15" s="408" t="n"/>
      <c r="F15" s="408" t="n"/>
      <c r="G15" s="408" t="n"/>
    </row>
    <row ht="30" outlineLevel="0" r="16">
      <c r="A16" s="21" t="n">
        <v>619</v>
      </c>
      <c r="B16" s="332" t="s">
        <v>44</v>
      </c>
      <c r="C16" s="408" t="n"/>
      <c r="D16" s="408" t="n"/>
      <c r="E16" s="408" t="n"/>
      <c r="F16" s="408" t="n"/>
      <c r="G16" s="408" t="n"/>
    </row>
    <row ht="30" outlineLevel="0" r="17">
      <c r="A17" s="21" t="n">
        <v>620</v>
      </c>
      <c r="B17" s="332" t="s">
        <v>48</v>
      </c>
      <c r="C17" s="257" t="n">
        <v>1</v>
      </c>
      <c r="D17" s="257" t="n">
        <v>0</v>
      </c>
      <c r="E17" s="257" t="n">
        <v>1</v>
      </c>
      <c r="F17" s="257" t="n">
        <v>100</v>
      </c>
      <c r="G17" s="257" t="n">
        <v>5</v>
      </c>
    </row>
    <row ht="30" outlineLevel="0" r="18">
      <c r="A18" s="21" t="n">
        <v>621</v>
      </c>
      <c r="B18" s="332" t="s">
        <v>54</v>
      </c>
      <c r="C18" s="408" t="n"/>
      <c r="D18" s="408" t="n"/>
      <c r="E18" s="408" t="n"/>
      <c r="F18" s="408" t="n"/>
      <c r="G18" s="408" t="n"/>
    </row>
    <row ht="45" outlineLevel="0" r="19">
      <c r="A19" s="21" t="n">
        <v>624</v>
      </c>
      <c r="B19" s="332" t="s">
        <v>40</v>
      </c>
      <c r="C19" s="257" t="n">
        <v>1</v>
      </c>
      <c r="D19" s="257" t="n">
        <v>0</v>
      </c>
      <c r="E19" s="257" t="n">
        <v>1</v>
      </c>
      <c r="F19" s="257" t="n">
        <v>100</v>
      </c>
      <c r="G19" s="257" t="n">
        <v>5</v>
      </c>
      <c r="J19" s="55" t="n">
        <v>1</v>
      </c>
      <c r="K19" s="55" t="n"/>
      <c r="L19" s="55" t="n">
        <v>1</v>
      </c>
    </row>
    <row outlineLevel="0" r="21">
      <c r="B21" s="57" t="s">
        <v>23</v>
      </c>
      <c r="F21" s="410" t="n">
        <v>400</v>
      </c>
    </row>
    <row outlineLevel="0" r="22">
      <c r="B22" s="60" t="s">
        <v>24</v>
      </c>
      <c r="F22" s="381" t="n">
        <v>28.57</v>
      </c>
    </row>
  </sheetData>
  <mergeCells count="2">
    <mergeCell ref="A1:G1"/>
    <mergeCell ref="A2:G2"/>
  </mergeCells>
  <pageMargins bottom="0.160000011324883" footer="0.160000011324883" header="0.31496062874794" left="0.709999978542328" right="0.196850389242172" top="0.450000017881393"/>
  <pageSetup fitToHeight="1" fitToWidth="1" orientation="landscape" paperHeight="297mm" paperSize="9" paperWidth="210mm" scale="6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I96"/>
  <sheetViews>
    <sheetView showZeros="true" workbookViewId="0"/>
  </sheetViews>
  <sheetFormatPr baseColWidth="8" customHeight="false" defaultColWidth="9.14062530925693" defaultRowHeight="15.75" zeroHeight="false"/>
  <cols>
    <col bestFit="true" customWidth="true" max="1" min="1" outlineLevel="0" style="67" width="9.14062530925693"/>
    <col customWidth="true" max="2" min="2" outlineLevel="0" style="62" width="57.4257799449093"/>
    <col customWidth="true" max="3" min="3" outlineLevel="0" style="62" width="15.0000005074985"/>
    <col customWidth="true" max="4" min="4" outlineLevel="0" style="68" width="13.285156158148"/>
    <col customWidth="true" max="5" min="5" outlineLevel="0" style="68" width="13.4257806215741"/>
    <col customWidth="true" max="6" min="6" outlineLevel="0" style="68" width="22.5703129929608"/>
    <col customWidth="true" max="7" min="7" outlineLevel="0" style="68" width="24.2851559889819"/>
    <col customWidth="true" max="8" min="8" outlineLevel="0" style="67" width="16.5703119779637"/>
    <col customWidth="true" hidden="true" max="9" min="9" outlineLevel="0" style="68" width="11.4257816365712"/>
    <col customWidth="true" hidden="true" max="10" min="10" outlineLevel="0" style="67" width="18.5703123162961"/>
    <col bestFit="true" customWidth="true" hidden="true" max="11" min="11" outlineLevel="0" style="67" width="9.14062530925693"/>
    <col bestFit="true" customWidth="true" hidden="true" max="35" min="12" outlineLevel="0" style="68" width="9.14062530925693"/>
    <col bestFit="true" customWidth="true" max="16384" min="36" outlineLevel="0" style="68" width="9.14062530925693"/>
  </cols>
  <sheetData>
    <row customHeight="true" ht="18.9500007629395" outlineLevel="0" r="1">
      <c r="A1" s="67" t="s">
        <v>55</v>
      </c>
      <c r="B1" s="67" t="s"/>
      <c r="C1" s="67" t="s"/>
      <c r="D1" s="67" t="s"/>
      <c r="E1" s="67" t="s"/>
      <c r="F1" s="67" t="s"/>
      <c r="G1" s="67" t="s"/>
      <c r="H1" s="67" t="s"/>
      <c r="I1" s="67" t="s"/>
    </row>
    <row customHeight="true" ht="18.9500007629395" outlineLevel="0" r="2">
      <c r="A2" s="67" t="s">
        <v>56</v>
      </c>
      <c r="B2" s="67" t="s"/>
      <c r="C2" s="67" t="s"/>
      <c r="D2" s="67" t="s"/>
      <c r="E2" s="67" t="s"/>
      <c r="F2" s="67" t="s"/>
      <c r="G2" s="67" t="s"/>
      <c r="H2" s="67" t="s"/>
      <c r="I2" s="67" t="s"/>
    </row>
    <row customHeight="true" ht="18.9500007629395" outlineLevel="0" r="3">
      <c r="A3" s="67" t="s">
        <v>57</v>
      </c>
      <c r="B3" s="67" t="s"/>
      <c r="C3" s="67" t="s"/>
      <c r="D3" s="67" t="s"/>
      <c r="E3" s="67" t="s"/>
      <c r="F3" s="67" t="s"/>
      <c r="G3" s="67" t="s"/>
      <c r="H3" s="67" t="s"/>
      <c r="I3" s="67" t="s"/>
    </row>
    <row customFormat="true" ht="15.75" outlineLevel="0" r="4" s="69">
      <c r="A4" s="70" t="n"/>
      <c r="B4" s="70" t="n"/>
      <c r="C4" s="70" t="s"/>
      <c r="D4" s="70" t="s"/>
      <c r="E4" s="70" t="s"/>
      <c r="F4" s="70" t="s"/>
      <c r="G4" s="70" t="s"/>
      <c r="H4" s="70" t="s"/>
      <c r="J4" s="70" t="n"/>
      <c r="K4" s="70" t="n"/>
    </row>
    <row customHeight="true" ht="15.75" outlineLevel="0" r="5">
      <c r="A5" s="53" t="s">
        <v>35</v>
      </c>
      <c r="B5" s="71" t="s">
        <v>58</v>
      </c>
      <c r="C5" s="72" t="s">
        <v>59</v>
      </c>
      <c r="D5" s="73" t="s"/>
      <c r="E5" s="73" t="s"/>
      <c r="F5" s="73" t="s"/>
      <c r="G5" s="74" t="s"/>
      <c r="H5" s="75" t="s">
        <v>60</v>
      </c>
      <c r="I5" s="76" t="s">
        <v>5</v>
      </c>
      <c r="J5" s="75" t="n"/>
    </row>
    <row customHeight="true" ht="18.9500007629395" outlineLevel="0" r="6">
      <c r="A6" s="77" t="s"/>
      <c r="B6" s="78" t="s"/>
      <c r="C6" s="71" t="s">
        <v>61</v>
      </c>
      <c r="D6" s="75" t="s">
        <v>62</v>
      </c>
      <c r="E6" s="71" t="s">
        <v>63</v>
      </c>
      <c r="F6" s="75" t="s">
        <v>64</v>
      </c>
      <c r="G6" s="71" t="s">
        <v>65</v>
      </c>
      <c r="H6" s="79" t="s"/>
      <c r="I6" s="80" t="s"/>
      <c r="J6" s="79" t="s"/>
    </row>
    <row customHeight="true" ht="18.9500007629395" outlineLevel="0" r="7">
      <c r="A7" s="77" t="s"/>
      <c r="B7" s="78" t="s"/>
      <c r="C7" s="78" t="s"/>
      <c r="D7" s="79" t="s"/>
      <c r="E7" s="78" t="s"/>
      <c r="F7" s="79" t="s"/>
      <c r="G7" s="78" t="s"/>
      <c r="H7" s="79" t="s"/>
      <c r="I7" s="80" t="s"/>
      <c r="J7" s="79" t="s"/>
    </row>
    <row customHeight="true" ht="105.75" outlineLevel="0" r="8">
      <c r="A8" s="81" t="s"/>
      <c r="B8" s="82" t="s"/>
      <c r="C8" s="82" t="s"/>
      <c r="D8" s="83" t="s"/>
      <c r="E8" s="82" t="s"/>
      <c r="F8" s="83" t="s"/>
      <c r="G8" s="82" t="s"/>
      <c r="H8" s="83" t="s"/>
      <c r="I8" s="84" t="s"/>
      <c r="J8" s="83" t="s"/>
    </row>
    <row customFormat="true" ht="15.75" outlineLevel="0" r="9" s="67">
      <c r="A9" s="85" t="n">
        <v>1</v>
      </c>
      <c r="B9" s="85" t="n">
        <v>2</v>
      </c>
      <c r="C9" s="85" t="n">
        <v>3</v>
      </c>
      <c r="D9" s="85" t="n">
        <v>4</v>
      </c>
      <c r="E9" s="85" t="n">
        <v>5</v>
      </c>
      <c r="F9" s="85" t="n">
        <v>6</v>
      </c>
      <c r="G9" s="85" t="n">
        <v>7</v>
      </c>
      <c r="H9" s="85" t="n">
        <v>8</v>
      </c>
      <c r="I9" s="85" t="n">
        <v>9</v>
      </c>
      <c r="J9" s="75" t="n"/>
    </row>
    <row customFormat="true" ht="15.75" outlineLevel="0" r="10" s="67">
      <c r="A10" s="86" t="n">
        <v>600</v>
      </c>
      <c r="B10" s="21" t="s">
        <v>51</v>
      </c>
      <c r="C10" s="87" t="n">
        <f aca="false" ca="false" dt2D="false" dtr="false" t="normal">' РАСЧЕТЫ по ГРБС 2022'!F4</f>
        <v>0.86</v>
      </c>
      <c r="D10" s="88" t="n">
        <f aca="false" ca="false" dt2D="false" dtr="false" t="normal">' РАСЧЕТЫ по ГРБС 2022'!F10</f>
        <v>1.75</v>
      </c>
      <c r="E10" s="89" t="n">
        <f aca="false" ca="false" dt2D="false" dtr="false" t="normal">' РАСЧЕТЫ по ГРБС 2022'!F22</f>
        <v>0.71</v>
      </c>
      <c r="F10" s="90" t="n"/>
      <c r="G10" s="90" t="n"/>
      <c r="H10" s="91" t="n">
        <f aca="false" ca="false" dt2D="false" dtr="false" t="normal">SUM(C10:G10)</f>
        <v>3.32</v>
      </c>
      <c r="I10" s="92" t="n">
        <v>10</v>
      </c>
      <c r="J10" s="75" t="n"/>
      <c r="P10" s="86" t="n">
        <v>600</v>
      </c>
      <c r="Q10" s="93" t="s">
        <v>66</v>
      </c>
      <c r="R10" s="93" t="n">
        <v>609</v>
      </c>
      <c r="T10" s="67" t="s">
        <v>66</v>
      </c>
      <c r="U10" s="67" t="n">
        <v>609</v>
      </c>
      <c r="V10" s="67" t="s">
        <v>37</v>
      </c>
      <c r="W10" s="67" t="n">
        <v>4.41</v>
      </c>
    </row>
    <row outlineLevel="0" r="11">
      <c r="A11" s="86" t="n">
        <v>601</v>
      </c>
      <c r="B11" s="58" t="s">
        <v>13</v>
      </c>
      <c r="C11" s="88" t="n">
        <f aca="false" ca="false" dt2D="false" dtr="false" t="normal">' РАСЧЕТЫ по ГРБС 2022'!K4</f>
        <v>0.64</v>
      </c>
      <c r="D11" s="91" t="n">
        <f aca="false" ca="false" dt2D="false" dtr="false" t="normal">' РАСЧЕТЫ по ГРБС 2022'!K10</f>
        <v>1.56</v>
      </c>
      <c r="E11" s="91" t="n">
        <f aca="false" ca="false" dt2D="false" dtr="false" t="normal">' РАСЧЕТЫ по ГРБС 2022'!K22</f>
        <v>0.46</v>
      </c>
      <c r="F11" s="87" t="n">
        <f aca="false" ca="false" dt2D="false" dtr="false" t="normal">' РАСЧЕТЫ по ГРБС 2022'!K28</f>
        <v>0.6</v>
      </c>
      <c r="G11" s="87" t="n">
        <f aca="false" ca="false" dt2D="false" dtr="false" t="normal">' РАСЧЕТЫ по ГРБС 2022'!K31</f>
        <v>0.5</v>
      </c>
      <c r="H11" s="87" t="n">
        <f aca="false" ca="false" dt2D="false" dtr="false" t="normal">SUM(C11:G11)</f>
        <v>3.7600000000000002</v>
      </c>
      <c r="I11" s="92" t="n">
        <v>5</v>
      </c>
      <c r="J11" s="94" t="n">
        <v>3.64</v>
      </c>
      <c r="K11" s="95" t="n">
        <f aca="false" ca="false" dt2D="false" dtr="false" t="normal">H11-J11</f>
        <v>0.11999999999999966</v>
      </c>
      <c r="L11" s="67" t="n">
        <v>601</v>
      </c>
      <c r="N11" s="96" t="s">
        <v>66</v>
      </c>
      <c r="O11" s="58" t="n">
        <v>609</v>
      </c>
      <c r="P11" s="86" t="n">
        <v>601</v>
      </c>
      <c r="Q11" s="93" t="s">
        <v>67</v>
      </c>
      <c r="R11" s="93" t="n">
        <v>643</v>
      </c>
      <c r="T11" s="68" t="n">
        <v>2</v>
      </c>
      <c r="U11" s="68" t="n">
        <v>606</v>
      </c>
      <c r="V11" s="68" t="s">
        <v>46</v>
      </c>
      <c r="W11" s="68" t="n">
        <v>4.29</v>
      </c>
    </row>
    <row ht="30" outlineLevel="0" r="12">
      <c r="A12" s="53" t="n">
        <v>602</v>
      </c>
      <c r="B12" s="21" t="s">
        <v>53</v>
      </c>
      <c r="C12" s="87" t="n">
        <f aca="false" ca="false" dt2D="false" dtr="false" t="normal">' РАСЧЕТЫ по ГРБС 2022'!P4</f>
        <v>0.74</v>
      </c>
      <c r="D12" s="87" t="n">
        <f aca="false" ca="false" dt2D="false" dtr="false" t="normal">' РАСЧЕТЫ по ГРБС 2022'!P10</f>
        <v>1.86</v>
      </c>
      <c r="E12" s="91" t="n">
        <f aca="false" ca="false" dt2D="false" dtr="false" t="normal">' РАСЧЕТЫ по ГРБС 2022'!P22</f>
        <v>0.45</v>
      </c>
      <c r="F12" s="90" t="n"/>
      <c r="G12" s="90" t="n"/>
      <c r="H12" s="91" t="n">
        <f aca="false" ca="false" dt2D="false" dtr="false" t="normal">SUM(C12:G12)</f>
        <v>3.0500000000000003</v>
      </c>
      <c r="I12" s="92" t="n">
        <v>14</v>
      </c>
      <c r="J12" s="94" t="n">
        <v>1.93</v>
      </c>
      <c r="K12" s="95" t="n">
        <f aca="false" ca="false" dt2D="false" dtr="false" t="normal">H12-J12</f>
        <v>1.1200000000000003</v>
      </c>
      <c r="L12" s="67" t="n">
        <v>602</v>
      </c>
      <c r="N12" s="96" t="s">
        <v>67</v>
      </c>
      <c r="O12" s="21" t="n">
        <v>604</v>
      </c>
      <c r="P12" s="53" t="n">
        <v>602</v>
      </c>
      <c r="Q12" s="93" t="s">
        <v>68</v>
      </c>
      <c r="R12" s="93" t="n">
        <v>617</v>
      </c>
      <c r="T12" s="68" t="s">
        <v>68</v>
      </c>
      <c r="U12" s="68" t="n">
        <v>611</v>
      </c>
      <c r="V12" s="68" t="s">
        <v>47</v>
      </c>
      <c r="W12" s="68" t="n">
        <v>4.12</v>
      </c>
    </row>
    <row ht="30" outlineLevel="0" r="13">
      <c r="A13" s="53" t="n">
        <v>604</v>
      </c>
      <c r="B13" s="21" t="s">
        <v>49</v>
      </c>
      <c r="C13" s="97" t="n">
        <f aca="false" ca="false" dt2D="false" dtr="false" t="normal">' РАСЧЕТЫ по ГРБС 2022'!U4</f>
        <v>0.51</v>
      </c>
      <c r="D13" s="87" t="n">
        <f aca="false" ca="false" dt2D="false" dtr="false" t="normal">' РАСЧЕТЫ по ГРБС 2022'!U10</f>
        <v>2.33</v>
      </c>
      <c r="E13" s="89" t="n">
        <f aca="false" ca="false" dt2D="false" dtr="false" t="normal">' РАСЧЕТЫ по ГРБС 2022'!U22</f>
        <v>0.71</v>
      </c>
      <c r="F13" s="90" t="n"/>
      <c r="G13" s="90" t="n"/>
      <c r="H13" s="87" t="n">
        <f aca="false" ca="false" dt2D="false" dtr="false" t="normal">SUM(C13:G13)</f>
        <v>3.55</v>
      </c>
      <c r="I13" s="92" t="n">
        <v>4</v>
      </c>
      <c r="J13" s="94" t="n">
        <v>4.47</v>
      </c>
      <c r="K13" s="95" t="n">
        <f aca="false" ca="false" dt2D="false" dtr="false" t="normal">H13-J13</f>
        <v>-0.9199999999999999</v>
      </c>
      <c r="L13" s="67" t="n">
        <v>604</v>
      </c>
      <c r="N13" s="96" t="s">
        <v>68</v>
      </c>
      <c r="O13" s="21" t="n">
        <v>605</v>
      </c>
      <c r="P13" s="53" t="n">
        <v>604</v>
      </c>
      <c r="Q13" s="93" t="n">
        <v>4</v>
      </c>
      <c r="R13" s="93" t="n">
        <v>604</v>
      </c>
      <c r="T13" s="68" t="s">
        <v>69</v>
      </c>
      <c r="U13" s="68" t="n">
        <v>607</v>
      </c>
      <c r="V13" s="68" t="s">
        <v>50</v>
      </c>
      <c r="W13" s="68" t="n">
        <v>3.97</v>
      </c>
    </row>
    <row ht="30" outlineLevel="0" r="14">
      <c r="A14" s="53" t="n">
        <v>605</v>
      </c>
      <c r="B14" s="21" t="s">
        <v>70</v>
      </c>
      <c r="C14" s="87" t="n">
        <f aca="false" ca="false" dt2D="false" dtr="false" t="normal">' РАСЧЕТЫ по ГРБС 2022'!Z4</f>
        <v>0.86</v>
      </c>
      <c r="D14" s="87" t="n">
        <f aca="false" ca="false" dt2D="false" dtr="false" t="normal">' РАСЧЕТЫ по ГРБС 2022'!Z10</f>
        <v>2.3</v>
      </c>
      <c r="E14" s="87" t="n">
        <f aca="false" ca="false" dt2D="false" dtr="false" t="normal">' РАСЧЕТЫ по ГРБС 2022'!Z22</f>
        <v>0.52</v>
      </c>
      <c r="F14" s="90" t="n"/>
      <c r="G14" s="90" t="n"/>
      <c r="H14" s="87" t="n">
        <f aca="false" ca="false" dt2D="false" dtr="false" t="normal">SUM(C14:G14)</f>
        <v>3.6799999999999997</v>
      </c>
      <c r="I14" s="92" t="n">
        <v>7</v>
      </c>
      <c r="J14" s="94" t="n">
        <v>4.31</v>
      </c>
      <c r="K14" s="95" t="n">
        <f aca="false" ca="false" dt2D="false" dtr="false" t="normal">H14-J14</f>
        <v>-0.6300000000000008</v>
      </c>
      <c r="L14" s="67" t="n">
        <v>605</v>
      </c>
      <c r="N14" s="96" t="s">
        <v>69</v>
      </c>
      <c r="O14" s="21" t="n">
        <v>617</v>
      </c>
      <c r="P14" s="53" t="n">
        <v>605</v>
      </c>
      <c r="Q14" s="93" t="s">
        <v>71</v>
      </c>
      <c r="R14" s="93" t="n">
        <v>601</v>
      </c>
      <c r="T14" s="68" t="s">
        <v>71</v>
      </c>
      <c r="U14" s="68" t="n">
        <v>601</v>
      </c>
      <c r="V14" s="68" t="s">
        <v>13</v>
      </c>
      <c r="W14" s="68" t="n">
        <v>3.74</v>
      </c>
    </row>
    <row customFormat="true" ht="15.75" outlineLevel="0" r="15" s="67">
      <c r="A15" s="53" t="n">
        <v>606</v>
      </c>
      <c r="B15" s="21" t="s">
        <v>46</v>
      </c>
      <c r="C15" s="87" t="n">
        <f aca="false" ca="false" dt2D="false" dtr="false" t="normal">' РАСЧЕТЫ по ГРБС 2022'!AE4</f>
        <v>0.85</v>
      </c>
      <c r="D15" s="91" t="n">
        <f aca="false" ca="false" dt2D="false" dtr="false" t="normal">' РАСЧЕТЫ по ГРБС 2022'!AE10</f>
        <v>1.63</v>
      </c>
      <c r="E15" s="98" t="n">
        <f aca="false" ca="false" dt2D="false" dtr="false" t="normal">' РАСЧЕТЫ по ГРБС 2022'!AE22</f>
        <v>0.53</v>
      </c>
      <c r="F15" s="90" t="n"/>
      <c r="G15" s="89" t="n">
        <f aca="false" ca="false" dt2D="false" dtr="false" t="normal">' РАСЧЕТЫ по ГРБС 2022'!AE31</f>
        <v>0.63</v>
      </c>
      <c r="H15" s="87" t="n">
        <f aca="false" ca="false" dt2D="false" dtr="false" t="normal">SUM(C15:G15)</f>
        <v>3.6399999999999997</v>
      </c>
      <c r="I15" s="92" t="n">
        <v>6</v>
      </c>
      <c r="J15" s="99" t="n">
        <v>3.54</v>
      </c>
      <c r="K15" s="100" t="n">
        <f aca="false" ca="false" dt2D="false" dtr="false" t="normal">H15-J15</f>
        <v>0.0999999999999992</v>
      </c>
      <c r="L15" s="101" t="n">
        <v>606</v>
      </c>
      <c r="M15" s="101" t="n"/>
      <c r="N15" s="102" t="s">
        <v>71</v>
      </c>
      <c r="O15" s="103" t="n">
        <v>601</v>
      </c>
      <c r="P15" s="53" t="n">
        <v>606</v>
      </c>
      <c r="Q15" s="93" t="n">
        <v>6</v>
      </c>
      <c r="R15" s="93" t="n">
        <v>606</v>
      </c>
      <c r="T15" s="67" t="n">
        <v>6</v>
      </c>
      <c r="U15" s="67" t="n">
        <v>604</v>
      </c>
      <c r="V15" s="67" t="s">
        <v>49</v>
      </c>
      <c r="W15" s="67" t="n">
        <v>3.71</v>
      </c>
    </row>
    <row ht="30" outlineLevel="0" r="16">
      <c r="A16" s="53" t="n">
        <v>607</v>
      </c>
      <c r="B16" s="21" t="s">
        <v>50</v>
      </c>
      <c r="C16" s="87" t="n">
        <f aca="false" ca="false" dt2D="false" dtr="false" t="normal">' РАСЧЕТЫ по ГРБС 2022'!AJ4</f>
        <v>0.8</v>
      </c>
      <c r="D16" s="91" t="n">
        <f aca="false" ca="false" dt2D="false" dtr="false" t="normal">' РАСЧЕТЫ по ГРБС 2022'!AJ10</f>
        <v>1.7</v>
      </c>
      <c r="E16" s="91" t="n">
        <f aca="false" ca="false" dt2D="false" dtr="false" t="normal">' РАСЧЕТЫ по ГРБС 2022'!AJ22</f>
        <v>0.38</v>
      </c>
      <c r="F16" s="90" t="n"/>
      <c r="G16" s="89" t="n">
        <f aca="false" ca="false" dt2D="false" dtr="false" t="normal">' РАСЧЕТЫ по ГРБС 2022'!AJ31</f>
        <v>0.63</v>
      </c>
      <c r="H16" s="98" t="n">
        <f aca="false" ca="false" dt2D="false" dtr="false" t="normal">SUM(C16:G16)</f>
        <v>3.51</v>
      </c>
      <c r="I16" s="92" t="n">
        <v>12</v>
      </c>
      <c r="J16" s="99" t="n">
        <v>3.53</v>
      </c>
      <c r="K16" s="100" t="n">
        <f aca="false" ca="false" dt2D="false" dtr="false" t="normal">H16-J16</f>
        <v>-0.020000000000000906</v>
      </c>
      <c r="L16" s="101" t="n">
        <v>607</v>
      </c>
      <c r="M16" s="104" t="n"/>
      <c r="N16" s="102" t="s">
        <v>72</v>
      </c>
      <c r="O16" s="103" t="n">
        <v>606</v>
      </c>
      <c r="P16" s="53" t="n">
        <v>607</v>
      </c>
      <c r="Q16" s="93" t="s">
        <v>73</v>
      </c>
      <c r="R16" s="93" t="n">
        <v>605</v>
      </c>
      <c r="T16" s="68" t="s">
        <v>73</v>
      </c>
      <c r="U16" s="68" t="n">
        <v>620</v>
      </c>
      <c r="V16" s="68" t="s">
        <v>48</v>
      </c>
      <c r="W16" s="68" t="n">
        <v>3.7</v>
      </c>
    </row>
    <row ht="30" outlineLevel="0" r="17">
      <c r="A17" s="53" t="n">
        <v>609</v>
      </c>
      <c r="B17" s="21" t="s">
        <v>37</v>
      </c>
      <c r="C17" s="87" t="n">
        <f aca="false" ca="false" dt2D="false" dtr="false" t="normal">' РАСЧЕТЫ по ГРБС 2022'!AO4</f>
        <v>0.89</v>
      </c>
      <c r="D17" s="98" t="n">
        <f aca="false" ca="false" dt2D="false" dtr="false" t="normal">' РАСЧЕТЫ по ГРБС 2022'!AO10</f>
        <v>1.91</v>
      </c>
      <c r="E17" s="88" t="n">
        <f aca="false" ca="false" dt2D="false" dtr="false" t="normal">' РАСЧЕТЫ по ГРБС 2022'!AO22</f>
        <v>0.51</v>
      </c>
      <c r="F17" s="105" t="n">
        <f aca="false" ca="false" dt2D="false" dtr="false" t="normal">' РАСЧЕТЫ по ГРБС 2022'!AO28</f>
        <v>1.11</v>
      </c>
      <c r="G17" s="90" t="n"/>
      <c r="H17" s="89" t="n">
        <f aca="false" ca="false" dt2D="false" dtr="false" t="normal">SUM(C17:G17)</f>
        <v>4.42</v>
      </c>
      <c r="I17" s="92" t="n">
        <v>1</v>
      </c>
      <c r="J17" s="99" t="n">
        <v>4.56</v>
      </c>
      <c r="K17" s="100" t="n">
        <f aca="false" ca="false" dt2D="false" dtr="false" t="normal">H17-J17</f>
        <v>-0.14000000000000057</v>
      </c>
      <c r="L17" s="101" t="n">
        <v>609</v>
      </c>
      <c r="M17" s="104" t="n"/>
      <c r="N17" s="102" t="s">
        <v>73</v>
      </c>
      <c r="O17" s="103" t="n">
        <v>607</v>
      </c>
      <c r="P17" s="53" t="n">
        <v>609</v>
      </c>
      <c r="Q17" s="93" t="s">
        <v>74</v>
      </c>
      <c r="R17" s="93" t="n">
        <v>618</v>
      </c>
      <c r="T17" s="68" t="s">
        <v>74</v>
      </c>
      <c r="U17" s="68" t="n">
        <v>643</v>
      </c>
      <c r="V17" s="68" t="s">
        <v>52</v>
      </c>
      <c r="W17" s="68" t="n">
        <v>3.69</v>
      </c>
    </row>
    <row ht="30" outlineLevel="0" r="18">
      <c r="A18" s="53" t="n">
        <v>611</v>
      </c>
      <c r="B18" s="21" t="s">
        <v>47</v>
      </c>
      <c r="C18" s="91" t="n">
        <f aca="false" ca="false" dt2D="false" dtr="false" t="normal">' РАСЧЕТЫ по ГРБС 2022'!AT4</f>
        <v>0.7</v>
      </c>
      <c r="D18" s="91" t="n">
        <f aca="false" ca="false" dt2D="false" dtr="false" t="normal">' РАСЧЕТЫ по ГРБС 2022'!AT10</f>
        <v>1.76</v>
      </c>
      <c r="E18" s="91" t="n">
        <f aca="false" ca="false" dt2D="false" dtr="false" t="normal">' РАСЧЕТЫ по ГРБС 2022'!AT22</f>
        <v>0.5</v>
      </c>
      <c r="F18" s="90" t="n"/>
      <c r="G18" s="89" t="n">
        <f aca="false" ca="false" dt2D="false" dtr="false" t="normal">' РАСЧЕТЫ по ГРБС 2022'!AT31</f>
        <v>0.63</v>
      </c>
      <c r="H18" s="87" t="n">
        <f aca="false" ca="false" dt2D="false" dtr="false" t="normal">SUM(C18:G18)</f>
        <v>3.59</v>
      </c>
      <c r="I18" s="92" t="n">
        <v>9</v>
      </c>
      <c r="J18" s="99" t="n">
        <v>2.58</v>
      </c>
      <c r="K18" s="100" t="n">
        <f aca="false" ca="false" dt2D="false" dtr="false" t="normal">H18-J18</f>
        <v>1.0099999999999998</v>
      </c>
      <c r="L18" s="101" t="n">
        <v>611</v>
      </c>
      <c r="M18" s="104" t="n"/>
      <c r="N18" s="102" t="s">
        <v>74</v>
      </c>
      <c r="O18" s="103" t="n">
        <v>618</v>
      </c>
      <c r="P18" s="53" t="n">
        <v>611</v>
      </c>
      <c r="Q18" s="93" t="s">
        <v>75</v>
      </c>
      <c r="R18" s="93" t="n">
        <v>611</v>
      </c>
      <c r="T18" s="68" t="s">
        <v>75</v>
      </c>
      <c r="U18" s="68" t="n">
        <v>624</v>
      </c>
      <c r="V18" s="68" t="s">
        <v>40</v>
      </c>
      <c r="W18" s="68" t="n">
        <v>3.43</v>
      </c>
    </row>
    <row outlineLevel="0" r="19">
      <c r="A19" s="53" t="n">
        <v>617</v>
      </c>
      <c r="B19" s="21" t="s">
        <v>42</v>
      </c>
      <c r="C19" s="88" t="n">
        <f aca="false" ca="false" dt2D="false" dtr="false" t="normal">' РАСЧЕТЫ по ГРБС 2022'!AY4</f>
        <v>0.69</v>
      </c>
      <c r="D19" s="105" t="n">
        <f aca="false" ca="false" dt2D="false" dtr="false" t="normal">' РАСЧЕТЫ по ГРБС 2022'!AY10</f>
        <v>2.49</v>
      </c>
      <c r="E19" s="87" t="n">
        <f aca="false" ca="false" dt2D="false" dtr="false" t="normal">' РАСЧЕТЫ по ГРБС 2022'!AY22</f>
        <v>0.58</v>
      </c>
      <c r="F19" s="90" t="n"/>
      <c r="G19" s="90" t="n"/>
      <c r="H19" s="87" t="n">
        <f aca="false" ca="false" dt2D="false" dtr="false" t="normal">SUM(C19:G19)</f>
        <v>3.7600000000000002</v>
      </c>
      <c r="I19" s="92" t="n">
        <v>3</v>
      </c>
      <c r="J19" s="94" t="n">
        <v>3.77</v>
      </c>
      <c r="K19" s="95" t="n">
        <f aca="false" ca="false" dt2D="false" dtr="false" t="normal">H19-J19</f>
        <v>-0.009999999999999343</v>
      </c>
      <c r="L19" s="67" t="n">
        <v>617</v>
      </c>
      <c r="N19" s="96" t="s">
        <v>75</v>
      </c>
      <c r="O19" s="21" t="n">
        <v>619</v>
      </c>
      <c r="P19" s="53" t="n">
        <v>617</v>
      </c>
      <c r="Q19" s="93" t="s">
        <v>76</v>
      </c>
      <c r="R19" s="93" t="n">
        <v>600</v>
      </c>
      <c r="T19" s="68" t="s">
        <v>76</v>
      </c>
      <c r="U19" s="68" t="n">
        <v>600</v>
      </c>
      <c r="V19" s="68" t="s">
        <v>51</v>
      </c>
      <c r="W19" s="68" t="n">
        <v>3.05</v>
      </c>
    </row>
    <row outlineLevel="0" r="20">
      <c r="A20" s="53" t="n">
        <v>618</v>
      </c>
      <c r="B20" s="21" t="s">
        <v>38</v>
      </c>
      <c r="C20" s="87" t="n">
        <f aca="false" ca="false" dt2D="false" dtr="false" t="normal">' РАСЧЕТЫ по ГРБС 2022'!BD4</f>
        <v>1.09</v>
      </c>
      <c r="D20" s="87" t="n">
        <f aca="false" ca="false" dt2D="false" dtr="false" t="normal">' РАСЧЕТЫ по ГРБС 2022'!BD10</f>
        <v>2.34</v>
      </c>
      <c r="E20" s="87" t="n">
        <f aca="false" ca="false" dt2D="false" dtr="false" t="normal">' РАСЧЕТЫ по ГРБС 2022'!BD22</f>
        <v>0.65</v>
      </c>
      <c r="F20" s="90" t="n"/>
      <c r="G20" s="90" t="n"/>
      <c r="H20" s="98" t="n">
        <f aca="false" ca="false" dt2D="false" dtr="false" t="normal">SUM(C20:G20)</f>
        <v>4.08</v>
      </c>
      <c r="I20" s="92" t="n">
        <v>8</v>
      </c>
      <c r="J20" s="94" t="n">
        <v>3.3</v>
      </c>
      <c r="K20" s="95" t="n">
        <f aca="false" ca="false" dt2D="false" dtr="false" t="normal">H20-J20</f>
        <v>0.7800000000000002</v>
      </c>
      <c r="L20" s="67" t="n">
        <v>618</v>
      </c>
      <c r="N20" s="96" t="s">
        <v>76</v>
      </c>
      <c r="O20" s="21" t="n">
        <v>624</v>
      </c>
      <c r="P20" s="53" t="n">
        <v>618</v>
      </c>
      <c r="Q20" s="93" t="s">
        <v>77</v>
      </c>
      <c r="R20" s="93" t="n">
        <v>621</v>
      </c>
      <c r="T20" s="68" t="s">
        <v>77</v>
      </c>
      <c r="U20" s="68" t="n">
        <v>618</v>
      </c>
      <c r="V20" s="68" t="s">
        <v>38</v>
      </c>
      <c r="W20" s="68" t="n">
        <v>3.03</v>
      </c>
    </row>
    <row outlineLevel="0" r="21">
      <c r="A21" s="53" t="n">
        <v>619</v>
      </c>
      <c r="B21" s="21" t="s">
        <v>44</v>
      </c>
      <c r="C21" s="87" t="n">
        <f aca="false" ca="false" dt2D="false" dtr="false" t="normal">' РАСЧЕТЫ по ГРБС 2022'!BI4</f>
        <v>0.97</v>
      </c>
      <c r="D21" s="87" t="n">
        <f aca="false" ca="false" dt2D="false" dtr="false" t="normal">' РАСЧЕТЫ по ГРБС 2022'!BI10</f>
        <v>2.17</v>
      </c>
      <c r="E21" s="87" t="n">
        <f aca="false" ca="false" dt2D="false" dtr="false" t="normal">' РАСЧЕТЫ по ГРБС 2022'!BI22</f>
        <v>0.58</v>
      </c>
      <c r="F21" s="90" t="n"/>
      <c r="G21" s="90" t="n"/>
      <c r="H21" s="98" t="n">
        <f aca="false" ca="false" dt2D="false" dtr="false" t="normal">SUM(C21:G21)</f>
        <v>3.7199999999999998</v>
      </c>
      <c r="I21" s="92" t="n">
        <v>15</v>
      </c>
      <c r="J21" s="94" t="n">
        <v>3.24</v>
      </c>
      <c r="K21" s="95" t="n">
        <f aca="false" ca="false" dt2D="false" dtr="false" t="normal">H21-J21</f>
        <v>0.47999999999999954</v>
      </c>
      <c r="L21" s="67" t="n">
        <v>619</v>
      </c>
      <c r="N21" s="96" t="s">
        <v>77</v>
      </c>
      <c r="O21" s="21" t="n">
        <v>621</v>
      </c>
      <c r="P21" s="53" t="n">
        <v>619</v>
      </c>
      <c r="Q21" s="93" t="s">
        <v>78</v>
      </c>
      <c r="R21" s="93" t="n">
        <v>607</v>
      </c>
      <c r="T21" s="68" t="s">
        <v>78</v>
      </c>
      <c r="U21" s="68" t="n">
        <v>619</v>
      </c>
      <c r="V21" s="68" t="s">
        <v>44</v>
      </c>
      <c r="W21" s="68" t="n">
        <v>3</v>
      </c>
    </row>
    <row ht="30" outlineLevel="0" r="22">
      <c r="A22" s="53" t="n">
        <v>620</v>
      </c>
      <c r="B22" s="21" t="s">
        <v>48</v>
      </c>
      <c r="C22" s="91" t="n">
        <f aca="false" ca="false" dt2D="false" dtr="false" t="normal">' РАСЧЕТЫ по ГРБС 2022'!BN4</f>
        <v>0.64</v>
      </c>
      <c r="D22" s="91" t="n">
        <f aca="false" ca="false" dt2D="false" dtr="false" t="normal">' РАСЧЕТЫ по ГРБС 2022'!BN10</f>
        <v>1.74</v>
      </c>
      <c r="E22" s="106" t="n">
        <f aca="false" ca="false" dt2D="false" dtr="false" t="normal">' РАСЧЕТЫ по ГРБС 2022'!BN22</f>
        <v>0.3</v>
      </c>
      <c r="F22" s="87" t="n">
        <f aca="false" ca="false" dt2D="false" dtr="false" t="normal">' РАСЧЕТЫ по ГРБС 2022'!BN28</f>
        <v>0.4</v>
      </c>
      <c r="G22" s="87" t="n">
        <f aca="false" ca="false" dt2D="false" dtr="false" t="normal">' РАСЧЕТЫ по ГРБС 2022'!BN31</f>
        <v>0.5</v>
      </c>
      <c r="H22" s="87" t="n">
        <f aca="false" ca="false" dt2D="false" dtr="false" t="normal">SUM(C22:G22)</f>
        <v>3.5799999999999996</v>
      </c>
      <c r="I22" s="92" t="n">
        <v>13</v>
      </c>
      <c r="J22" s="94" t="n">
        <v>2.67</v>
      </c>
      <c r="K22" s="95" t="n">
        <f aca="false" ca="false" dt2D="false" dtr="false" t="normal">H22-J22</f>
        <v>0.9099999999999993</v>
      </c>
      <c r="L22" s="67" t="n">
        <v>620</v>
      </c>
      <c r="N22" s="96" t="s">
        <v>78</v>
      </c>
      <c r="O22" s="21" t="n">
        <v>620</v>
      </c>
      <c r="P22" s="53" t="n">
        <v>620</v>
      </c>
      <c r="Q22" s="93" t="s">
        <v>79</v>
      </c>
      <c r="R22" s="93" t="n">
        <v>620</v>
      </c>
      <c r="T22" s="68" t="s">
        <v>79</v>
      </c>
      <c r="U22" s="68" t="n">
        <v>605</v>
      </c>
      <c r="V22" s="68" t="s">
        <v>80</v>
      </c>
      <c r="W22" s="68" t="n">
        <v>2.98</v>
      </c>
    </row>
    <row ht="30" outlineLevel="0" r="23">
      <c r="A23" s="53" t="n">
        <v>621</v>
      </c>
      <c r="B23" s="21" t="s">
        <v>54</v>
      </c>
      <c r="C23" s="91" t="n">
        <f aca="false" ca="false" dt2D="false" dtr="false" t="normal">' РАСЧЕТЫ по ГРБС 2022'!BS4</f>
        <v>0.58</v>
      </c>
      <c r="D23" s="106" t="n">
        <f aca="false" ca="false" dt2D="false" dtr="false" t="normal">' РАСЧЕТЫ по ГРБС 2022'!BS10</f>
        <v>1.24</v>
      </c>
      <c r="E23" s="91" t="n">
        <f aca="false" ca="false" dt2D="false" dtr="false" t="normal">' РАСЧЕТЫ по ГРБС 2022'!BS22</f>
        <v>0.35</v>
      </c>
      <c r="F23" s="107" t="n"/>
      <c r="G23" s="90" t="n"/>
      <c r="H23" s="97" t="n">
        <f aca="false" ca="false" dt2D="false" dtr="false" t="normal">SUM(C23:G23)</f>
        <v>2.17</v>
      </c>
      <c r="I23" s="92" t="n">
        <v>11</v>
      </c>
      <c r="J23" s="94" t="n">
        <v>2.71</v>
      </c>
      <c r="K23" s="95" t="n">
        <f aca="false" ca="false" dt2D="false" dtr="false" t="normal">H23-J23</f>
        <v>-0.54</v>
      </c>
      <c r="L23" s="67" t="n">
        <v>621</v>
      </c>
      <c r="N23" s="96" t="s">
        <v>79</v>
      </c>
      <c r="O23" s="21" t="n">
        <v>611</v>
      </c>
      <c r="P23" s="53" t="n">
        <v>621</v>
      </c>
      <c r="Q23" s="93" t="s">
        <v>81</v>
      </c>
      <c r="R23" s="93" t="n">
        <v>602</v>
      </c>
      <c r="T23" s="68" t="s">
        <v>81</v>
      </c>
      <c r="U23" s="68" t="n">
        <v>617</v>
      </c>
      <c r="V23" s="68" t="s">
        <v>42</v>
      </c>
      <c r="W23" s="68" t="n">
        <v>2.72</v>
      </c>
    </row>
    <row customHeight="true" ht="32.25" outlineLevel="0" r="24">
      <c r="A24" s="53" t="n">
        <v>624</v>
      </c>
      <c r="B24" s="21" t="s">
        <v>40</v>
      </c>
      <c r="C24" s="91" t="n">
        <f aca="false" ca="false" dt2D="false" dtr="false" t="normal">' РАСЧЕТЫ по ГРБС 2022'!BX4</f>
        <v>0.52</v>
      </c>
      <c r="D24" s="91" t="n">
        <f aca="false" ca="false" dt2D="false" dtr="false" t="normal">' РАСЧЕТЫ по ГРБС 2022'!BX10</f>
        <v>1.36</v>
      </c>
      <c r="E24" s="91" t="n">
        <f aca="false" ca="false" dt2D="false" dtr="false" t="normal">' РАСЧЕТЫ по ГРБС 2022'!BX22</f>
        <v>0.41</v>
      </c>
      <c r="F24" s="90" t="n"/>
      <c r="G24" s="87" t="n">
        <f aca="false" ca="false" dt2D="false" dtr="false" t="normal">' РАСЧЕТЫ по ГРБС 2022'!BX31</f>
        <v>0.5</v>
      </c>
      <c r="H24" s="108" t="n">
        <f aca="false" ca="false" dt2D="false" dtr="false" t="normal">SUM(C24:G24)</f>
        <v>2.79</v>
      </c>
      <c r="I24" s="92" t="n">
        <v>16</v>
      </c>
      <c r="J24" s="94" t="n">
        <v>3.17</v>
      </c>
      <c r="K24" s="95" t="n">
        <f aca="false" ca="false" dt2D="false" dtr="false" t="normal">H24-J24</f>
        <v>-0.3799999999999999</v>
      </c>
      <c r="L24" s="67" t="n">
        <v>624</v>
      </c>
      <c r="N24" s="96" t="s">
        <v>81</v>
      </c>
      <c r="O24" s="21" t="n">
        <v>602</v>
      </c>
      <c r="P24" s="53" t="n">
        <v>624</v>
      </c>
      <c r="Q24" s="93" t="s">
        <v>82</v>
      </c>
      <c r="R24" s="93" t="n">
        <v>619</v>
      </c>
      <c r="T24" s="68" t="s">
        <v>82</v>
      </c>
      <c r="U24" s="68" t="n">
        <v>602</v>
      </c>
      <c r="V24" s="68" t="s">
        <v>53</v>
      </c>
      <c r="W24" s="68" t="n">
        <v>2.55</v>
      </c>
    </row>
    <row customHeight="true" ht="32.25" outlineLevel="0" r="25">
      <c r="A25" s="21" t="n">
        <v>643</v>
      </c>
      <c r="B25" s="21" t="s">
        <v>52</v>
      </c>
      <c r="C25" s="89" t="n">
        <f aca="false" ca="false" dt2D="false" dtr="false" t="normal">' РАСЧЕТЫ по ГРБС 2022'!CC4</f>
        <v>0.93</v>
      </c>
      <c r="D25" s="88" t="n">
        <f aca="false" ca="false" dt2D="false" dtr="false" t="normal">' РАСЧЕТЫ по ГРБС 2022'!CC10</f>
        <v>1.58</v>
      </c>
      <c r="E25" s="89" t="n">
        <f aca="false" ca="false" dt2D="false" dtr="false" t="normal">' РАСЧЕТЫ по ГРБС 2022'!CC22</f>
        <v>0.71</v>
      </c>
      <c r="F25" s="90" t="n"/>
      <c r="G25" s="90" t="n"/>
      <c r="H25" s="88" t="n">
        <f aca="false" ca="false" dt2D="false" dtr="false" t="normal">SUM(C25:G25)</f>
        <v>3.22</v>
      </c>
      <c r="I25" s="92" t="n">
        <v>2</v>
      </c>
      <c r="J25" s="94" t="n"/>
      <c r="K25" s="95" t="n"/>
      <c r="L25" s="67" t="n"/>
      <c r="N25" s="96" t="n"/>
      <c r="O25" s="21" t="n"/>
      <c r="P25" s="53" t="n">
        <v>643</v>
      </c>
      <c r="Q25" s="93" t="s">
        <v>83</v>
      </c>
      <c r="R25" s="93" t="n">
        <v>624</v>
      </c>
      <c r="T25" s="68" t="s">
        <v>83</v>
      </c>
      <c r="U25" s="68" t="n">
        <v>621</v>
      </c>
      <c r="V25" s="68" t="s">
        <v>54</v>
      </c>
      <c r="W25" s="68" t="n">
        <v>2.23</v>
      </c>
    </row>
    <row customFormat="true" ht="15.75" outlineLevel="0" r="26" s="109">
      <c r="B26" s="110" t="s">
        <v>23</v>
      </c>
      <c r="C26" s="111" t="n">
        <f aca="false" ca="false" dt2D="false" dtr="false" t="normal">SUM(C10:C25)</f>
        <v>12.27</v>
      </c>
      <c r="D26" s="111" t="n">
        <f aca="false" ca="false" dt2D="false" dtr="false" t="normal">SUM(D10:D25)</f>
        <v>29.71999999999999</v>
      </c>
      <c r="E26" s="111" t="n">
        <f aca="false" ca="false" dt2D="false" dtr="false" t="normal">SUM(E10:E25)</f>
        <v>8.35</v>
      </c>
      <c r="F26" s="111" t="n">
        <f aca="false" ca="false" dt2D="false" dtr="false" t="normal">SUM(F10:F25)</f>
        <v>2.11</v>
      </c>
      <c r="G26" s="111" t="n">
        <f aca="false" ca="false" dt2D="false" dtr="false" t="normal">SUM(G10:G25)</f>
        <v>3.3899999999999997</v>
      </c>
      <c r="H26" s="111" t="n">
        <f aca="false" ca="false" dt2D="false" dtr="false" t="normal">SUM(H10:H25)</f>
        <v>55.83999999999999</v>
      </c>
      <c r="I26" s="111" t="n"/>
    </row>
    <row customFormat="true" ht="15.75" outlineLevel="0" r="27" s="109">
      <c r="B27" s="110" t="s">
        <v>24</v>
      </c>
      <c r="C27" s="111" t="n">
        <f aca="false" ca="false" dt2D="false" dtr="false" t="normal">ROUND(C26/16, 2)</f>
        <v>0.77</v>
      </c>
      <c r="D27" s="111" t="n">
        <f aca="false" ca="false" dt2D="false" dtr="false" t="normal">ROUND(D26/16, 2)</f>
        <v>1.86</v>
      </c>
      <c r="E27" s="111" t="n">
        <f aca="false" ca="false" dt2D="false" dtr="false" t="normal">ROUND(E26/16, 2)</f>
        <v>0.52</v>
      </c>
      <c r="F27" s="111" t="n">
        <f aca="false" ca="false" dt2D="false" dtr="false" t="normal">ROUND(F26/16, 2)</f>
        <v>0.13</v>
      </c>
      <c r="G27" s="111" t="n">
        <f aca="false" ca="false" dt2D="false" dtr="false" t="normal">ROUND(G26/16, 2)</f>
        <v>0.21</v>
      </c>
      <c r="H27" s="111" t="n">
        <f aca="false" ca="false" dt2D="false" dtr="false" t="normal">ROUND(H26/16, 2)</f>
        <v>3.49</v>
      </c>
      <c r="I27" s="111" t="n"/>
      <c r="J27" s="94" t="e">
        <v>#N/A</v>
      </c>
      <c r="V27" s="109" t="s">
        <v>23</v>
      </c>
      <c r="W27" s="109" t="n">
        <v>54.62</v>
      </c>
    </row>
    <row outlineLevel="0" r="28">
      <c r="V28" s="68" t="s">
        <v>24</v>
      </c>
      <c r="W28" s="111" t="n">
        <f aca="false" ca="false" dt2D="false" dtr="false" t="normal">ROUND(W27/16, 2)</f>
        <v>3.41</v>
      </c>
    </row>
    <row outlineLevel="0" r="30">
      <c r="B30" s="62" t="s">
        <v>25</v>
      </c>
      <c r="C30" s="63" t="n"/>
    </row>
    <row outlineLevel="0" r="31">
      <c r="B31" s="62" t="s">
        <v>26</v>
      </c>
      <c r="C31" s="64" t="n"/>
    </row>
    <row outlineLevel="0" r="32">
      <c r="B32" s="62" t="s">
        <v>27</v>
      </c>
      <c r="C32" s="65" t="n"/>
    </row>
    <row outlineLevel="0" r="33">
      <c r="B33" s="62" t="s">
        <v>28</v>
      </c>
      <c r="C33" s="66" t="n"/>
    </row>
    <row hidden="true" ht="15.75" outlineLevel="0" r="35"/>
    <row hidden="true" ht="15.75" outlineLevel="0" r="36"/>
    <row hidden="true" ht="15.75" outlineLevel="0" r="37"/>
    <row hidden="true" ht="15.75" outlineLevel="0" r="38">
      <c r="B38" s="53" t="n">
        <v>609</v>
      </c>
      <c r="C38" s="112" t="n">
        <v>4.56</v>
      </c>
      <c r="D38" s="68" t="n">
        <v>1</v>
      </c>
    </row>
    <row hidden="true" ht="15.75" outlineLevel="0" r="39">
      <c r="B39" s="53" t="n">
        <v>604</v>
      </c>
      <c r="C39" s="112" t="n">
        <v>4.47</v>
      </c>
      <c r="D39" s="68" t="n">
        <v>2</v>
      </c>
    </row>
    <row hidden="true" ht="15.75" outlineLevel="0" r="40">
      <c r="B40" s="53" t="n">
        <v>605</v>
      </c>
      <c r="C40" s="112" t="n">
        <v>4.31</v>
      </c>
      <c r="D40" s="68" t="n">
        <v>3</v>
      </c>
    </row>
    <row hidden="true" ht="15.75" outlineLevel="0" r="41">
      <c r="B41" s="53" t="n">
        <v>617</v>
      </c>
      <c r="C41" s="112" t="n">
        <v>3.77</v>
      </c>
      <c r="D41" s="68" t="n">
        <v>4</v>
      </c>
    </row>
    <row hidden="true" ht="15.75" outlineLevel="0" r="42">
      <c r="B42" s="86" t="n">
        <v>601</v>
      </c>
      <c r="C42" s="112" t="n">
        <v>3.64</v>
      </c>
      <c r="D42" s="68" t="n">
        <v>5</v>
      </c>
    </row>
    <row hidden="true" ht="15.75" outlineLevel="0" r="43">
      <c r="B43" s="53" t="n">
        <v>606</v>
      </c>
      <c r="C43" s="112" t="n">
        <v>3.54</v>
      </c>
      <c r="D43" s="68" t="n">
        <v>6</v>
      </c>
    </row>
    <row hidden="true" ht="15.75" outlineLevel="0" r="44">
      <c r="B44" s="53" t="n">
        <v>607</v>
      </c>
      <c r="C44" s="112" t="n">
        <v>3.53</v>
      </c>
      <c r="D44" s="68" t="n">
        <v>7</v>
      </c>
    </row>
    <row hidden="true" ht="15.75" outlineLevel="0" r="45">
      <c r="B45" s="53" t="n">
        <v>618</v>
      </c>
      <c r="C45" s="112" t="n">
        <v>3.3</v>
      </c>
      <c r="D45" s="68" t="n">
        <v>8</v>
      </c>
    </row>
    <row hidden="true" ht="15.75" outlineLevel="0" r="46">
      <c r="B46" s="53" t="n">
        <v>619</v>
      </c>
      <c r="C46" s="112" t="n">
        <v>3.24</v>
      </c>
      <c r="D46" s="68" t="n">
        <v>9</v>
      </c>
    </row>
    <row hidden="true" ht="15.75" outlineLevel="0" r="47">
      <c r="B47" s="53" t="n">
        <v>624</v>
      </c>
      <c r="C47" s="112" t="n">
        <v>3.17</v>
      </c>
      <c r="D47" s="68" t="n">
        <v>10</v>
      </c>
    </row>
    <row hidden="true" ht="15.75" outlineLevel="0" r="48">
      <c r="B48" s="53" t="n">
        <v>621</v>
      </c>
      <c r="C48" s="112" t="n">
        <v>2.71</v>
      </c>
      <c r="D48" s="68" t="n">
        <v>11</v>
      </c>
    </row>
    <row hidden="true" ht="15.75" outlineLevel="0" r="49">
      <c r="B49" s="53" t="n">
        <v>620</v>
      </c>
      <c r="C49" s="112" t="n">
        <v>2.67</v>
      </c>
      <c r="D49" s="68" t="n">
        <v>12</v>
      </c>
    </row>
    <row hidden="true" ht="15.75" outlineLevel="0" r="50">
      <c r="B50" s="53" t="n">
        <v>611</v>
      </c>
      <c r="C50" s="112" t="n">
        <v>2.58</v>
      </c>
      <c r="D50" s="68" t="n">
        <v>13</v>
      </c>
    </row>
    <row hidden="true" ht="15.75" outlineLevel="0" r="51">
      <c r="B51" s="53" t="n">
        <v>602</v>
      </c>
      <c r="C51" s="112" t="n">
        <v>1.93</v>
      </c>
      <c r="D51" s="68" t="n">
        <v>14</v>
      </c>
    </row>
    <row hidden="true" ht="15.75" outlineLevel="0" r="52">
      <c r="C52" s="62" t="s">
        <v>69</v>
      </c>
      <c r="D52" s="68" t="n">
        <v>11</v>
      </c>
      <c r="E52" s="68" t="n">
        <v>23</v>
      </c>
      <c r="F52" s="68" t="n">
        <v>29</v>
      </c>
      <c r="G52" s="68" t="n">
        <v>33</v>
      </c>
    </row>
    <row hidden="true" ht="15.75" outlineLevel="0" r="53"/>
    <row hidden="true" ht="15.75" outlineLevel="0" r="54">
      <c r="C54" s="113" t="n">
        <f aca="false" ca="false" dt2D="false" dtr="false" t="normal">MIN(C10:C25)</f>
        <v>0.51</v>
      </c>
      <c r="D54" s="113" t="n">
        <f aca="false" ca="false" dt2D="false" dtr="false" t="normal">MIN(D10:D25)</f>
        <v>1.24</v>
      </c>
      <c r="E54" s="113" t="n">
        <f aca="false" ca="false" dt2D="false" dtr="false" t="normal">MIN(E10:E25)</f>
        <v>0.3</v>
      </c>
      <c r="F54" s="113" t="n">
        <f aca="false" ca="false" dt2D="false" dtr="false" t="normal">MIN(F10:F25)</f>
        <v>0.4</v>
      </c>
      <c r="G54" s="113" t="n">
        <f aca="false" ca="false" dt2D="false" dtr="false" t="normal">MIN(G10:G25)</f>
        <v>0.5</v>
      </c>
      <c r="H54" s="113" t="n">
        <f aca="false" ca="false" dt2D="false" dtr="false" t="normal">MIN(H10:H25)</f>
        <v>2.17</v>
      </c>
    </row>
    <row hidden="true" ht="15.75" outlineLevel="0" r="55">
      <c r="C55" s="113" t="n">
        <f aca="false" ca="false" dt2D="false" dtr="false" t="normal">MAX(C10:C25)</f>
        <v>1.09</v>
      </c>
      <c r="D55" s="113" t="n">
        <f aca="false" ca="false" dt2D="false" dtr="false" t="normal">MAX(D10:D25)</f>
        <v>2.49</v>
      </c>
      <c r="E55" s="113" t="n">
        <f aca="false" ca="false" dt2D="false" dtr="false" t="normal">MAX(E10:E25)</f>
        <v>0.71</v>
      </c>
      <c r="F55" s="113" t="n">
        <f aca="false" ca="false" dt2D="false" dtr="false" t="normal">MAX(F10:F25)</f>
        <v>1.11</v>
      </c>
      <c r="G55" s="113" t="n">
        <f aca="false" ca="false" dt2D="false" dtr="false" t="normal">MAX(G10:G25)</f>
        <v>0.63</v>
      </c>
      <c r="H55" s="113" t="n">
        <f aca="false" ca="false" dt2D="false" dtr="false" t="normal">MAX(H10:H25)</f>
        <v>4.42</v>
      </c>
    </row>
    <row hidden="true" ht="15.75" outlineLevel="0" r="56">
      <c r="C56" s="113" t="n"/>
      <c r="D56" s="113" t="n"/>
      <c r="E56" s="113" t="n"/>
      <c r="F56" s="113" t="n"/>
    </row>
    <row hidden="true" ht="15.75" outlineLevel="0" r="57">
      <c r="C57" s="113" t="n"/>
      <c r="D57" s="113" t="n"/>
      <c r="E57" s="113" t="n"/>
      <c r="F57" s="113" t="n"/>
    </row>
    <row hidden="true" ht="15.75" outlineLevel="0" r="58">
      <c r="C58" s="113" t="n"/>
      <c r="D58" s="113" t="n"/>
      <c r="E58" s="113" t="n"/>
      <c r="F58" s="113" t="n"/>
    </row>
    <row hidden="true" ht="15.75" outlineLevel="0" r="59">
      <c r="C59" s="113" t="n"/>
      <c r="D59" s="113" t="n"/>
      <c r="E59" s="113" t="n"/>
      <c r="F59" s="113" t="n"/>
    </row>
    <row hidden="true" ht="15.75" outlineLevel="0" r="60"/>
    <row hidden="true" ht="15.75" outlineLevel="0" r="61"/>
    <row hidden="true" ht="15.75" outlineLevel="0" r="62"/>
    <row hidden="true" ht="15.75" outlineLevel="0" r="63"/>
    <row hidden="true" ht="15.75" outlineLevel="0" r="64"/>
    <row hidden="true" ht="15.75" outlineLevel="0" r="65"/>
    <row hidden="true" ht="15.75" outlineLevel="0" r="66"/>
    <row hidden="true" ht="15.75" outlineLevel="0" r="67"/>
    <row hidden="true" ht="15.75" outlineLevel="0" r="68"/>
    <row hidden="true" ht="15.75" outlineLevel="0" r="69"/>
    <row hidden="true" ht="15.75" outlineLevel="0" r="70"/>
    <row hidden="true" ht="15.75" outlineLevel="0" r="71"/>
    <row hidden="true" ht="15.75" outlineLevel="0" r="72"/>
    <row hidden="true" ht="15.75" outlineLevel="0" r="73"/>
    <row hidden="true" ht="15.75" outlineLevel="0" r="74"/>
    <row hidden="true" ht="15.75" outlineLevel="0" r="75"/>
    <row hidden="true" ht="15.75" outlineLevel="0" r="76"/>
    <row hidden="true" ht="15.75" outlineLevel="0" r="77"/>
    <row hidden="true" ht="15.75" outlineLevel="0" r="78"/>
    <row hidden="true" ht="15.75" outlineLevel="0" r="79"/>
    <row hidden="true" ht="15.75" outlineLevel="0" r="80"/>
    <row hidden="true" ht="15.75" outlineLevel="0" r="81"/>
    <row hidden="true" ht="15.75" outlineLevel="0" r="82"/>
    <row hidden="true" ht="15.75" outlineLevel="0" r="83"/>
    <row hidden="true" ht="15.75" outlineLevel="0" r="84"/>
    <row hidden="true" ht="15.75" outlineLevel="0" r="85"/>
    <row hidden="true" ht="15.75" outlineLevel="0" r="86"/>
    <row hidden="true" ht="15.75" outlineLevel="0" r="87"/>
    <row hidden="true" ht="15.75" outlineLevel="0" r="88"/>
    <row hidden="true" ht="15.75" outlineLevel="0" r="89"/>
    <row hidden="true" ht="15.75" outlineLevel="0" r="90"/>
    <row hidden="true" ht="15.75" outlineLevel="0" r="91"/>
    <row hidden="true" ht="15.75" outlineLevel="0" r="92"/>
    <row hidden="true" ht="15.75" outlineLevel="0" r="93"/>
    <row hidden="true" ht="15.75" outlineLevel="0" r="94"/>
    <row hidden="true" ht="15.75" outlineLevel="0" r="95"/>
    <row hidden="true" ht="15.75" outlineLevel="0" r="96"/>
  </sheetData>
  <mergeCells count="15">
    <mergeCell ref="A1:I1"/>
    <mergeCell ref="A2:I2"/>
    <mergeCell ref="A3:I3"/>
    <mergeCell ref="B4:H4"/>
    <mergeCell ref="A5:A8"/>
    <mergeCell ref="B5:B8"/>
    <mergeCell ref="C5:G5"/>
    <mergeCell ref="H5:H8"/>
    <mergeCell ref="I5:I8"/>
    <mergeCell ref="J5:J8"/>
    <mergeCell ref="C6:C8"/>
    <mergeCell ref="D6:D8"/>
    <mergeCell ref="E6:E8"/>
    <mergeCell ref="F6:F8"/>
    <mergeCell ref="G6:G8"/>
  </mergeCells>
  <pageMargins bottom="0.15748031437397" footer="0.15748031437397" header="0.15748031437397" left="0.472440928220749" right="0.0393700785934925" top="0.472440928220749"/>
  <pageSetup fitToHeight="1" fitToWidth="1" orientation="landscape" paperHeight="420mm" paperSize="8" paperWidth="297mm" scale="110"/>
</worksheet>
</file>

<file path=xl/worksheets/sheet3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1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6.1406248017584"/>
    <col bestFit="true" customWidth="true" max="5" min="5" outlineLevel="0" style="3" width="13.285156158148"/>
    <col customWidth="true" max="6" min="6" outlineLevel="0" style="3" width="13.1406246325922"/>
    <col bestFit="true" customWidth="true" max="16384" min="7" outlineLevel="0" style="3" width="9.14062530925693"/>
  </cols>
  <sheetData>
    <row customFormat="true" customHeight="true" ht="65.25" outlineLevel="0" r="1" s="197">
      <c r="A1" s="198" t="s">
        <v>129</v>
      </c>
      <c r="B1" s="198" t="s"/>
      <c r="C1" s="198" t="s"/>
      <c r="D1" s="198" t="s"/>
      <c r="E1" s="198" t="s"/>
      <c r="F1" s="198" t="s"/>
    </row>
    <row customHeight="true" ht="65.25" outlineLevel="0" r="2">
      <c r="A2" s="199" t="s">
        <v>130</v>
      </c>
      <c r="B2" s="199" t="s"/>
      <c r="C2" s="199" t="s"/>
      <c r="D2" s="199" t="s"/>
      <c r="E2" s="199" t="s"/>
      <c r="F2" s="199" t="s"/>
    </row>
    <row ht="30" outlineLevel="0" r="3">
      <c r="C3" s="52" t="s">
        <v>198</v>
      </c>
      <c r="D3" s="52" t="s">
        <v>198</v>
      </c>
      <c r="E3" s="52" t="n"/>
    </row>
    <row ht="210" outlineLevel="0" r="5">
      <c r="A5" s="53" t="s">
        <v>35</v>
      </c>
      <c r="B5" s="53" t="s">
        <v>2</v>
      </c>
      <c r="C5" s="53" t="s">
        <v>242</v>
      </c>
      <c r="D5" s="53" t="s">
        <v>243</v>
      </c>
      <c r="E5" s="53" t="s">
        <v>244</v>
      </c>
      <c r="F5" s="53" t="s">
        <v>140</v>
      </c>
    </row>
    <row outlineLevel="0" r="6">
      <c r="A6" s="58" t="n">
        <v>601</v>
      </c>
      <c r="B6" s="58" t="s">
        <v>13</v>
      </c>
      <c r="C6" s="298" t="n"/>
      <c r="D6" s="298" t="n"/>
      <c r="E6" s="298" t="n"/>
      <c r="F6" s="298" t="n"/>
    </row>
    <row ht="30" outlineLevel="0" r="7">
      <c r="A7" s="21" t="n">
        <v>602</v>
      </c>
      <c r="B7" s="21" t="s">
        <v>53</v>
      </c>
      <c r="C7" s="298" t="n"/>
      <c r="D7" s="298" t="n"/>
      <c r="E7" s="298" t="n"/>
      <c r="F7" s="298" t="n"/>
    </row>
    <row ht="30" outlineLevel="0" r="8">
      <c r="A8" s="21" t="n">
        <v>604</v>
      </c>
      <c r="B8" s="21" t="s">
        <v>49</v>
      </c>
      <c r="C8" s="298" t="n"/>
      <c r="D8" s="298" t="n"/>
      <c r="E8" s="298" t="n"/>
      <c r="F8" s="298" t="n"/>
    </row>
    <row ht="45" outlineLevel="0" r="9">
      <c r="A9" s="21" t="n">
        <v>605</v>
      </c>
      <c r="B9" s="21" t="s">
        <v>45</v>
      </c>
      <c r="C9" s="411" t="n"/>
      <c r="D9" s="411" t="n"/>
      <c r="E9" s="411" t="n"/>
      <c r="F9" s="411" t="n"/>
    </row>
    <row ht="30" outlineLevel="0" r="10">
      <c r="A10" s="212" t="n">
        <v>606</v>
      </c>
      <c r="B10" s="258" t="s">
        <v>46</v>
      </c>
      <c r="C10" s="219" t="n">
        <v>8</v>
      </c>
      <c r="D10" s="219" t="n">
        <v>8</v>
      </c>
      <c r="E10" s="219" t="n">
        <v>100</v>
      </c>
      <c r="F10" s="219" t="n">
        <v>5</v>
      </c>
      <c r="J10" s="233" t="n">
        <v>7</v>
      </c>
      <c r="K10" s="233" t="n">
        <v>7</v>
      </c>
      <c r="L10" s="233" t="n">
        <f aca="false" ca="false" dt2D="false" dtr="false" t="normal">ROUND(J10/K10*100, 2)</f>
        <v>100</v>
      </c>
      <c r="M10" s="233" t="n">
        <v>5</v>
      </c>
    </row>
    <row ht="30" outlineLevel="0" r="11">
      <c r="A11" s="212" t="n">
        <v>607</v>
      </c>
      <c r="B11" s="258" t="s">
        <v>50</v>
      </c>
      <c r="C11" s="219" t="n">
        <v>10</v>
      </c>
      <c r="D11" s="219" t="n">
        <v>10</v>
      </c>
      <c r="E11" s="219" t="n">
        <v>100</v>
      </c>
      <c r="F11" s="219" t="n">
        <v>5</v>
      </c>
      <c r="J11" s="233" t="n">
        <v>8</v>
      </c>
      <c r="K11" s="233" t="n">
        <v>8</v>
      </c>
      <c r="L11" s="233" t="n">
        <f aca="false" ca="false" dt2D="false" dtr="false" t="normal">ROUND(J11/K11*100, 2)</f>
        <v>100</v>
      </c>
      <c r="M11" s="233" t="n">
        <v>5</v>
      </c>
    </row>
    <row ht="45" outlineLevel="0" r="12">
      <c r="A12" s="21" t="n">
        <v>609</v>
      </c>
      <c r="B12" s="21" t="s">
        <v>37</v>
      </c>
      <c r="C12" s="412" t="n"/>
      <c r="D12" s="412" t="n"/>
      <c r="E12" s="412" t="n"/>
      <c r="F12" s="412" t="n"/>
      <c r="J12" s="278" t="n"/>
      <c r="K12" s="278" t="n"/>
      <c r="L12" s="278" t="n"/>
      <c r="M12" s="278" t="n"/>
    </row>
    <row ht="30" outlineLevel="0" r="13">
      <c r="A13" s="212" t="n">
        <v>611</v>
      </c>
      <c r="B13" s="258" t="s">
        <v>47</v>
      </c>
      <c r="C13" s="257" t="n">
        <v>7</v>
      </c>
      <c r="D13" s="257" t="n">
        <v>7</v>
      </c>
      <c r="E13" s="257" t="n">
        <v>100</v>
      </c>
      <c r="F13" s="257" t="n">
        <v>5</v>
      </c>
      <c r="J13" s="233" t="n">
        <v>7</v>
      </c>
      <c r="K13" s="233" t="n">
        <v>7</v>
      </c>
      <c r="L13" s="233" t="n">
        <f aca="false" ca="false" dt2D="false" dtr="false" t="normal">ROUND(J13/K13*100, 2)</f>
        <v>100</v>
      </c>
      <c r="M13" s="233" t="n">
        <v>5</v>
      </c>
    </row>
    <row ht="30" outlineLevel="0" r="14">
      <c r="A14" s="21" t="n">
        <v>617</v>
      </c>
      <c r="B14" s="21" t="s">
        <v>42</v>
      </c>
      <c r="C14" s="413" t="n"/>
      <c r="D14" s="413" t="n"/>
      <c r="E14" s="413" t="n"/>
      <c r="F14" s="413" t="n"/>
      <c r="J14" s="298" t="n"/>
      <c r="K14" s="298" t="n"/>
      <c r="L14" s="298" t="n"/>
      <c r="M14" s="298" t="n"/>
    </row>
    <row ht="30" outlineLevel="0" r="15">
      <c r="A15" s="21" t="n">
        <v>618</v>
      </c>
      <c r="B15" s="21" t="s">
        <v>38</v>
      </c>
      <c r="C15" s="298" t="n"/>
      <c r="D15" s="298" t="n"/>
      <c r="E15" s="298" t="n"/>
      <c r="F15" s="298" t="n"/>
      <c r="J15" s="298" t="n"/>
      <c r="K15" s="298" t="n"/>
      <c r="L15" s="298" t="n"/>
      <c r="M15" s="298" t="n"/>
    </row>
    <row ht="30" outlineLevel="0" r="16">
      <c r="A16" s="21" t="n">
        <v>619</v>
      </c>
      <c r="B16" s="21" t="s">
        <v>44</v>
      </c>
      <c r="C16" s="298" t="n"/>
      <c r="D16" s="298" t="n"/>
      <c r="E16" s="298" t="n"/>
      <c r="F16" s="298" t="n"/>
      <c r="J16" s="298" t="n"/>
      <c r="K16" s="298" t="n"/>
      <c r="L16" s="298" t="n"/>
      <c r="M16" s="298" t="n"/>
    </row>
    <row ht="30" outlineLevel="0" r="17">
      <c r="A17" s="212" t="n">
        <v>620</v>
      </c>
      <c r="B17" s="212" t="s">
        <v>48</v>
      </c>
      <c r="C17" s="219" t="n">
        <v>122</v>
      </c>
      <c r="D17" s="219" t="n">
        <v>122</v>
      </c>
      <c r="E17" s="219" t="n">
        <f aca="false" ca="false" dt2D="false" dtr="false" t="normal">ROUND(C17/D17*100, 2)</f>
        <v>100</v>
      </c>
      <c r="F17" s="219" t="n">
        <v>5</v>
      </c>
      <c r="J17" s="414" t="n">
        <v>122</v>
      </c>
      <c r="K17" s="414" t="n">
        <v>122</v>
      </c>
      <c r="L17" s="414" t="n">
        <f aca="false" ca="false" dt2D="false" dtr="false" t="normal">ROUND(J17/K17*100, 2)</f>
        <v>100</v>
      </c>
      <c r="M17" s="414" t="n">
        <v>5</v>
      </c>
    </row>
    <row ht="30" outlineLevel="0" r="18">
      <c r="A18" s="21" t="n">
        <v>621</v>
      </c>
      <c r="B18" s="21" t="s">
        <v>54</v>
      </c>
      <c r="C18" s="298" t="n"/>
      <c r="D18" s="298" t="n"/>
      <c r="E18" s="298" t="n"/>
      <c r="F18" s="298" t="n"/>
    </row>
    <row ht="45" outlineLevel="0" r="19">
      <c r="A19" s="21" t="n">
        <v>624</v>
      </c>
      <c r="B19" s="21" t="s">
        <v>40</v>
      </c>
      <c r="C19" s="298" t="n"/>
      <c r="D19" s="298" t="n"/>
      <c r="E19" s="298" t="n"/>
      <c r="F19" s="298" t="n"/>
    </row>
  </sheetData>
  <mergeCells count="2">
    <mergeCell ref="A1:F1"/>
    <mergeCell ref="A2:F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75"/>
</worksheet>
</file>

<file path=xl/worksheets/sheet3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24.8554679669456"/>
    <col customWidth="true" max="4" min="4" outlineLevel="0" style="3" width="26.1406248017584"/>
    <col customWidth="true" max="5" min="5" outlineLevel="0" style="3" width="13.1406246325922"/>
    <col bestFit="true" customWidth="true" max="16384" min="6" outlineLevel="0" style="3" width="9.14062530925693"/>
  </cols>
  <sheetData>
    <row customFormat="true" customHeight="true" ht="65.25" outlineLevel="0" r="1" s="197">
      <c r="A1" s="198" t="s">
        <v>129</v>
      </c>
      <c r="B1" s="198" t="s"/>
      <c r="C1" s="198" t="s"/>
      <c r="D1" s="198" t="s"/>
      <c r="E1" s="198" t="s"/>
    </row>
    <row customHeight="true" ht="123" outlineLevel="0" r="2">
      <c r="A2" s="199" t="s">
        <v>131</v>
      </c>
      <c r="B2" s="199" t="s"/>
      <c r="C2" s="199" t="s"/>
      <c r="D2" s="199" t="s"/>
      <c r="E2" s="199" t="s"/>
    </row>
    <row ht="30" outlineLevel="0" r="3">
      <c r="C3" s="52" t="s">
        <v>198</v>
      </c>
      <c r="D3" s="52" t="s">
        <v>198</v>
      </c>
    </row>
    <row ht="105" outlineLevel="0" r="5">
      <c r="A5" s="53" t="s">
        <v>35</v>
      </c>
      <c r="B5" s="53" t="s">
        <v>2</v>
      </c>
      <c r="C5" s="53" t="s">
        <v>245</v>
      </c>
      <c r="D5" s="53" t="s">
        <v>246</v>
      </c>
      <c r="E5" s="53" t="s">
        <v>140</v>
      </c>
    </row>
    <row outlineLevel="0" r="6">
      <c r="A6" s="58" t="n">
        <v>601</v>
      </c>
      <c r="B6" s="58" t="s">
        <v>13</v>
      </c>
      <c r="C6" s="415" t="s">
        <v>185</v>
      </c>
      <c r="D6" s="55" t="n"/>
      <c r="E6" s="55" t="n">
        <v>5</v>
      </c>
      <c r="I6" s="415" t="s">
        <v>185</v>
      </c>
      <c r="J6" s="55" t="n"/>
      <c r="K6" s="55" t="n">
        <v>5</v>
      </c>
    </row>
    <row ht="30" outlineLevel="0" r="7">
      <c r="A7" s="21" t="n">
        <v>602</v>
      </c>
      <c r="B7" s="21" t="s">
        <v>53</v>
      </c>
      <c r="C7" s="298" t="n"/>
      <c r="D7" s="298" t="n"/>
      <c r="E7" s="298" t="n"/>
      <c r="I7" s="298" t="n"/>
      <c r="J7" s="298" t="n"/>
      <c r="K7" s="298" t="n"/>
    </row>
    <row ht="30" outlineLevel="0" r="8">
      <c r="A8" s="21" t="n">
        <v>604</v>
      </c>
      <c r="B8" s="21" t="s">
        <v>49</v>
      </c>
      <c r="C8" s="298" t="n"/>
      <c r="D8" s="298" t="n"/>
      <c r="E8" s="298" t="n"/>
      <c r="I8" s="298" t="n"/>
      <c r="J8" s="298" t="n"/>
      <c r="K8" s="298" t="n"/>
    </row>
    <row ht="45" outlineLevel="0" r="9">
      <c r="A9" s="21" t="n">
        <v>605</v>
      </c>
      <c r="B9" s="21" t="s">
        <v>45</v>
      </c>
      <c r="C9" s="411" t="n"/>
      <c r="D9" s="411" t="n"/>
      <c r="E9" s="411" t="n"/>
      <c r="I9" s="298" t="n"/>
      <c r="J9" s="298" t="n"/>
      <c r="K9" s="298" t="n"/>
    </row>
    <row ht="30" outlineLevel="0" r="10">
      <c r="A10" s="212" t="n">
        <v>606</v>
      </c>
      <c r="B10" s="258" t="s">
        <v>46</v>
      </c>
      <c r="C10" s="416" t="s">
        <v>185</v>
      </c>
      <c r="D10" s="416" t="n"/>
      <c r="E10" s="257" t="n">
        <v>5</v>
      </c>
      <c r="I10" s="417" t="n"/>
      <c r="J10" s="415" t="s">
        <v>185</v>
      </c>
      <c r="K10" s="55" t="n">
        <v>0</v>
      </c>
    </row>
    <row ht="30" outlineLevel="0" r="11">
      <c r="A11" s="212" t="n">
        <v>607</v>
      </c>
      <c r="B11" s="258" t="s">
        <v>50</v>
      </c>
      <c r="C11" s="416" t="s">
        <v>185</v>
      </c>
      <c r="D11" s="416" t="n"/>
      <c r="E11" s="257" t="n">
        <v>5</v>
      </c>
      <c r="I11" s="417" t="n"/>
      <c r="J11" s="415" t="s">
        <v>185</v>
      </c>
      <c r="K11" s="55" t="n">
        <v>0</v>
      </c>
    </row>
    <row ht="45" outlineLevel="0" r="12">
      <c r="A12" s="21" t="n">
        <v>609</v>
      </c>
      <c r="B12" s="21" t="s">
        <v>37</v>
      </c>
      <c r="C12" s="413" t="n"/>
      <c r="D12" s="413" t="n"/>
      <c r="E12" s="413" t="n"/>
      <c r="I12" s="418" t="n"/>
      <c r="J12" s="298" t="n"/>
      <c r="K12" s="298" t="n"/>
    </row>
    <row ht="30" outlineLevel="0" r="13">
      <c r="A13" s="212" t="n">
        <v>611</v>
      </c>
      <c r="B13" s="212" t="s">
        <v>47</v>
      </c>
      <c r="C13" s="384" t="s">
        <v>185</v>
      </c>
      <c r="D13" s="384" t="n"/>
      <c r="E13" s="215" t="n">
        <v>5</v>
      </c>
      <c r="I13" s="417" t="n"/>
      <c r="J13" s="415" t="s">
        <v>185</v>
      </c>
      <c r="K13" s="55" t="n">
        <v>0</v>
      </c>
    </row>
    <row ht="30" outlineLevel="0" r="14">
      <c r="A14" s="21" t="n">
        <v>617</v>
      </c>
      <c r="B14" s="21" t="s">
        <v>42</v>
      </c>
      <c r="C14" s="224" t="n"/>
      <c r="D14" s="298" t="n"/>
      <c r="E14" s="298" t="n"/>
      <c r="I14" s="224" t="n"/>
      <c r="J14" s="298" t="n"/>
      <c r="K14" s="298" t="n"/>
    </row>
    <row ht="30" outlineLevel="0" r="15">
      <c r="A15" s="21" t="n">
        <v>618</v>
      </c>
      <c r="B15" s="21" t="s">
        <v>38</v>
      </c>
      <c r="C15" s="224" t="n"/>
      <c r="D15" s="298" t="n"/>
      <c r="E15" s="298" t="n"/>
      <c r="I15" s="224" t="n"/>
      <c r="J15" s="298" t="n"/>
      <c r="K15" s="298" t="n"/>
    </row>
    <row ht="30" outlineLevel="0" r="16">
      <c r="A16" s="21" t="n">
        <v>619</v>
      </c>
      <c r="B16" s="21" t="s">
        <v>44</v>
      </c>
      <c r="C16" s="224" t="n"/>
      <c r="D16" s="298" t="n"/>
      <c r="E16" s="298" t="n"/>
      <c r="I16" s="224" t="n"/>
      <c r="J16" s="298" t="n"/>
      <c r="K16" s="298" t="n"/>
    </row>
    <row ht="30" outlineLevel="0" r="17">
      <c r="A17" s="212" t="n">
        <v>620</v>
      </c>
      <c r="B17" s="212" t="s">
        <v>48</v>
      </c>
      <c r="C17" s="385" t="s">
        <v>185</v>
      </c>
      <c r="D17" s="219" t="n"/>
      <c r="E17" s="219" t="n">
        <v>5</v>
      </c>
      <c r="I17" s="419" t="s">
        <v>185</v>
      </c>
      <c r="J17" s="55" t="n"/>
      <c r="K17" s="55" t="n">
        <v>5</v>
      </c>
    </row>
    <row ht="30" outlineLevel="0" r="18">
      <c r="A18" s="21" t="n">
        <v>621</v>
      </c>
      <c r="B18" s="21" t="s">
        <v>54</v>
      </c>
      <c r="C18" s="298" t="n"/>
      <c r="D18" s="298" t="n"/>
      <c r="E18" s="298" t="n"/>
      <c r="I18" s="298" t="n"/>
      <c r="J18" s="298" t="n"/>
      <c r="K18" s="298" t="n"/>
    </row>
    <row ht="45" outlineLevel="0" r="19">
      <c r="A19" s="212" t="n">
        <v>624</v>
      </c>
      <c r="B19" s="212" t="s">
        <v>40</v>
      </c>
      <c r="C19" s="385" t="s">
        <v>185</v>
      </c>
      <c r="D19" s="219" t="n"/>
      <c r="E19" s="219" t="n">
        <v>5</v>
      </c>
      <c r="I19" s="419" t="s">
        <v>185</v>
      </c>
      <c r="J19" s="420" t="n"/>
      <c r="K19" s="55" t="n">
        <v>5</v>
      </c>
    </row>
  </sheetData>
  <mergeCells count="2">
    <mergeCell ref="A1:E1"/>
    <mergeCell ref="A2:E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75"/>
</worksheet>
</file>

<file path=xl/worksheets/sheet3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4" width="24.8554679669456"/>
    <col customWidth="true" max="4" min="4" outlineLevel="0" style="4" width="26.1406248017584"/>
    <col customWidth="true" max="5" min="5" outlineLevel="0" style="3" width="16.4257818057373"/>
    <col customWidth="true" max="6" min="6" outlineLevel="0" style="3" width="13.1406246325922"/>
    <col bestFit="true" customWidth="true" max="8" min="7" outlineLevel="0" style="3" width="9.14062530925693"/>
    <col bestFit="true" customWidth="true" max="9" min="9" outlineLevel="0" style="3" width="11.570313162127"/>
    <col bestFit="true" customWidth="true" max="10" min="10" outlineLevel="0" style="3" width="15.2851564964804"/>
    <col bestFit="true" customWidth="true" max="16384" min="11" outlineLevel="0" style="3" width="9.14062530925693"/>
  </cols>
  <sheetData>
    <row customFormat="true" customHeight="true" ht="65.25" outlineLevel="0" r="1" s="197">
      <c r="A1" s="198" t="s">
        <v>129</v>
      </c>
      <c r="B1" s="198" t="s"/>
      <c r="C1" s="198" t="s"/>
      <c r="D1" s="198" t="s"/>
      <c r="E1" s="198" t="s"/>
      <c r="F1" s="198" t="s"/>
    </row>
    <row customHeight="true" ht="65.25" outlineLevel="0" r="2">
      <c r="A2" s="199" t="s">
        <v>132</v>
      </c>
      <c r="B2" s="199" t="s"/>
      <c r="C2" s="199" t="s"/>
      <c r="D2" s="199" t="s"/>
      <c r="E2" s="199" t="s"/>
      <c r="F2" s="199" t="s"/>
    </row>
    <row ht="30" outlineLevel="0" r="3">
      <c r="C3" s="421" t="s">
        <v>198</v>
      </c>
      <c r="D3" s="421" t="s">
        <v>198</v>
      </c>
      <c r="E3" s="52" t="n"/>
    </row>
    <row ht="150" outlineLevel="0" r="5">
      <c r="A5" s="53" t="s">
        <v>35</v>
      </c>
      <c r="B5" s="53" t="s">
        <v>2</v>
      </c>
      <c r="C5" s="422" t="s">
        <v>247</v>
      </c>
      <c r="D5" s="422" t="s">
        <v>248</v>
      </c>
      <c r="E5" s="53" t="s">
        <v>249</v>
      </c>
      <c r="F5" s="53" t="s">
        <v>140</v>
      </c>
    </row>
    <row outlineLevel="0" r="6">
      <c r="A6" s="58" t="n">
        <v>601</v>
      </c>
      <c r="B6" s="58" t="s">
        <v>13</v>
      </c>
      <c r="C6" s="409" t="n"/>
      <c r="D6" s="409" t="n"/>
      <c r="E6" s="298" t="n"/>
      <c r="F6" s="298" t="n"/>
    </row>
    <row ht="30" outlineLevel="0" r="7">
      <c r="A7" s="21" t="n">
        <v>602</v>
      </c>
      <c r="B7" s="21" t="s">
        <v>53</v>
      </c>
      <c r="C7" s="409" t="n"/>
      <c r="D7" s="409" t="n"/>
      <c r="E7" s="298" t="n"/>
      <c r="F7" s="298" t="n"/>
    </row>
    <row ht="30" outlineLevel="0" r="8">
      <c r="A8" s="21" t="n">
        <v>604</v>
      </c>
      <c r="B8" s="21" t="s">
        <v>49</v>
      </c>
      <c r="C8" s="409" t="n"/>
      <c r="D8" s="409" t="n"/>
      <c r="E8" s="298" t="n"/>
      <c r="F8" s="298" t="n"/>
    </row>
    <row ht="45" outlineLevel="0" r="9">
      <c r="A9" s="21" t="n">
        <v>605</v>
      </c>
      <c r="B9" s="21" t="s">
        <v>45</v>
      </c>
      <c r="C9" s="423" t="n"/>
      <c r="D9" s="423" t="n"/>
      <c r="E9" s="411" t="n"/>
      <c r="F9" s="411" t="n"/>
    </row>
    <row ht="30" outlineLevel="0" r="10">
      <c r="A10" s="212" t="n">
        <v>606</v>
      </c>
      <c r="B10" s="258" t="s">
        <v>46</v>
      </c>
      <c r="C10" s="406" t="n">
        <v>56164014.18</v>
      </c>
      <c r="D10" s="406" t="n">
        <v>4986405163.23</v>
      </c>
      <c r="E10" s="257" t="n">
        <v>1.13</v>
      </c>
      <c r="F10" s="257" t="n">
        <v>5</v>
      </c>
      <c r="I10" s="424" t="n">
        <v>1586493.86</v>
      </c>
      <c r="J10" s="424" t="n">
        <v>4159177483.94</v>
      </c>
      <c r="K10" s="288" t="n">
        <f aca="false" ca="false" dt2D="false" dtr="false" t="normal">ROUND(I10/J10*100, 2)</f>
        <v>0.04</v>
      </c>
      <c r="L10" s="55" t="n">
        <v>5</v>
      </c>
    </row>
    <row ht="30" outlineLevel="0" r="11">
      <c r="A11" s="212" t="n">
        <v>607</v>
      </c>
      <c r="B11" s="258" t="s">
        <v>50</v>
      </c>
      <c r="C11" s="406" t="n">
        <v>630031.9</v>
      </c>
      <c r="D11" s="406" t="n">
        <v>508957750.8</v>
      </c>
      <c r="E11" s="257" t="n">
        <v>0.12</v>
      </c>
      <c r="F11" s="257" t="n">
        <v>5</v>
      </c>
      <c r="I11" s="424" t="n">
        <v>5670.37</v>
      </c>
      <c r="J11" s="424" t="n">
        <v>386231101.42</v>
      </c>
      <c r="K11" s="288" t="n">
        <f aca="false" ca="false" dt2D="false" dtr="false" t="normal">ROUND(I11/J11*100, 2)</f>
        <v>0</v>
      </c>
      <c r="L11" s="55" t="n">
        <v>5</v>
      </c>
    </row>
    <row ht="45" outlineLevel="0" r="12">
      <c r="A12" s="425" t="n">
        <v>609</v>
      </c>
      <c r="B12" s="425" t="s">
        <v>37</v>
      </c>
      <c r="C12" s="426" t="n"/>
      <c r="D12" s="426" t="n"/>
      <c r="E12" s="427" t="n"/>
      <c r="F12" s="427" t="n"/>
      <c r="I12" s="409" t="n"/>
      <c r="J12" s="409" t="n"/>
      <c r="K12" s="298" t="n"/>
      <c r="L12" s="298" t="n"/>
    </row>
    <row ht="30" outlineLevel="0" r="13">
      <c r="A13" s="378" t="n">
        <v>611</v>
      </c>
      <c r="B13" s="378" t="s">
        <v>47</v>
      </c>
      <c r="C13" s="257" t="n">
        <v>0</v>
      </c>
      <c r="D13" s="406" t="n">
        <v>203207129.05</v>
      </c>
      <c r="E13" s="257" t="n">
        <v>0</v>
      </c>
      <c r="F13" s="257" t="n">
        <v>5</v>
      </c>
      <c r="I13" s="424" t="n">
        <v>0</v>
      </c>
      <c r="J13" s="424" t="n">
        <v>177360800.66</v>
      </c>
      <c r="K13" s="288" t="n">
        <f aca="false" ca="false" dt2D="false" dtr="false" t="normal">ROUND(I13/J13*100, 2)</f>
        <v>0</v>
      </c>
      <c r="L13" s="55" t="n">
        <v>5</v>
      </c>
    </row>
    <row ht="30" outlineLevel="0" r="14">
      <c r="A14" s="58" t="n">
        <v>617</v>
      </c>
      <c r="B14" s="58" t="s">
        <v>42</v>
      </c>
      <c r="C14" s="428" t="n"/>
      <c r="D14" s="428" t="n"/>
      <c r="E14" s="413" t="n"/>
      <c r="F14" s="413" t="n"/>
      <c r="I14" s="409" t="n"/>
      <c r="J14" s="409" t="n"/>
      <c r="K14" s="298" t="n"/>
      <c r="L14" s="298" t="n"/>
    </row>
    <row ht="30" outlineLevel="0" r="15">
      <c r="A15" s="21" t="n">
        <v>618</v>
      </c>
      <c r="B15" s="21" t="s">
        <v>38</v>
      </c>
      <c r="C15" s="409" t="n"/>
      <c r="D15" s="409" t="n"/>
      <c r="E15" s="298" t="n"/>
      <c r="F15" s="298" t="n"/>
      <c r="I15" s="409" t="n"/>
      <c r="J15" s="409" t="n"/>
      <c r="K15" s="298" t="n"/>
      <c r="L15" s="298" t="n"/>
    </row>
    <row ht="30" outlineLevel="0" r="16">
      <c r="A16" s="21" t="n">
        <v>619</v>
      </c>
      <c r="B16" s="21" t="s">
        <v>44</v>
      </c>
      <c r="C16" s="409" t="n"/>
      <c r="D16" s="409" t="n"/>
      <c r="E16" s="298" t="n"/>
      <c r="F16" s="298" t="n"/>
      <c r="I16" s="409" t="n"/>
      <c r="J16" s="409" t="n"/>
      <c r="K16" s="298" t="n"/>
      <c r="L16" s="298" t="n"/>
    </row>
    <row ht="30" outlineLevel="0" r="17">
      <c r="A17" s="21" t="n">
        <v>620</v>
      </c>
      <c r="B17" s="21" t="s">
        <v>48</v>
      </c>
      <c r="C17" s="429" t="n">
        <v>0</v>
      </c>
      <c r="D17" s="430" t="n">
        <v>113951828.37</v>
      </c>
      <c r="E17" s="288" t="n">
        <f aca="false" ca="false" dt2D="false" dtr="false" t="normal">ROUND(C17/D17*100, 2)</f>
        <v>0</v>
      </c>
      <c r="F17" s="186" t="n">
        <v>5</v>
      </c>
      <c r="I17" s="429" t="n">
        <v>350000</v>
      </c>
      <c r="J17" s="429" t="n">
        <v>129164987.92</v>
      </c>
      <c r="K17" s="431" t="n">
        <f aca="false" ca="false" dt2D="false" dtr="false" t="normal">ROUND(I17/J17*100, 2)</f>
        <v>0.27</v>
      </c>
      <c r="L17" s="186" t="n">
        <v>5</v>
      </c>
    </row>
    <row ht="30" outlineLevel="0" r="18">
      <c r="A18" s="21" t="n">
        <v>621</v>
      </c>
      <c r="B18" s="21" t="s">
        <v>54</v>
      </c>
      <c r="C18" s="409" t="n"/>
      <c r="D18" s="409" t="n"/>
      <c r="E18" s="298" t="n"/>
      <c r="F18" s="298" t="n"/>
    </row>
    <row ht="45" outlineLevel="0" r="19">
      <c r="A19" s="21" t="n">
        <v>624</v>
      </c>
      <c r="B19" s="21" t="s">
        <v>40</v>
      </c>
      <c r="C19" s="409" t="n"/>
      <c r="D19" s="409" t="n"/>
      <c r="E19" s="298" t="n"/>
      <c r="F19" s="298" t="n"/>
    </row>
  </sheetData>
  <mergeCells count="2">
    <mergeCell ref="A1:F1"/>
    <mergeCell ref="A2:F2"/>
  </mergeCells>
  <pageMargins bottom="0.748031497001648" footer="0.31496062874794" header="0.31496062874794" left="0.511811017990112" right="0.196850389242172" top="0.748031497001648"/>
  <pageSetup fitToHeight="1" fitToWidth="1" orientation="portrait" paperHeight="297mm" paperSize="9" paperWidth="210mm" scale="74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30"/>
  <sheetViews>
    <sheetView showZeros="true" workbookViewId="0"/>
  </sheetViews>
  <sheetFormatPr baseColWidth="8" customHeight="false" defaultColWidth="9.14062530925693" defaultRowHeight="15.75" zeroHeight="false"/>
  <cols>
    <col customWidth="true" max="1" min="1" outlineLevel="0" style="62" width="57.4257799449093"/>
    <col customWidth="true" max="2" min="2" outlineLevel="0" style="62" width="15.0000005074985"/>
    <col customWidth="true" max="3" min="3" outlineLevel="0" style="68" width="13.285156158148"/>
    <col customWidth="true" max="4" min="4" outlineLevel="0" style="68" width="13.4257806215741"/>
    <col customWidth="true" max="5" min="5" outlineLevel="0" style="68" width="13.0000001691662"/>
    <col customWidth="true" max="6" min="6" outlineLevel="0" style="68" width="11.570313162127"/>
    <col customWidth="true" max="7" min="7" outlineLevel="0" style="68" width="19.8554691511089"/>
    <col customWidth="true" max="8" min="8" outlineLevel="0" style="68" width="17.5703128237946"/>
    <col customWidth="true" max="9" min="9" outlineLevel="0" style="67" width="16.5703119779637"/>
    <col customWidth="true" max="10" min="10" outlineLevel="0" style="67" width="13.4257806215741"/>
    <col customWidth="true" max="11" min="11" outlineLevel="0" style="67" width="18.5703123162961"/>
    <col customWidth="true" max="12" min="12" outlineLevel="0" style="68" width="11.4257816365712"/>
    <col customWidth="true" max="13" min="13" outlineLevel="0" style="67" width="18.5703123162961"/>
    <col bestFit="true" customWidth="true" max="14" min="14" outlineLevel="0" style="67" width="9.14062530925693"/>
    <col bestFit="true" customWidth="true" max="16384" min="15" outlineLevel="0" style="68" width="9.14062530925693"/>
  </cols>
  <sheetData>
    <row customHeight="true" ht="18.9500007629395" outlineLevel="0" r="1">
      <c r="A1" s="114" t="s">
        <v>84</v>
      </c>
      <c r="B1" s="114" t="s"/>
      <c r="C1" s="114" t="s"/>
      <c r="D1" s="114" t="s"/>
      <c r="E1" s="114" t="s"/>
      <c r="F1" s="114" t="s"/>
      <c r="G1" s="114" t="s"/>
      <c r="H1" s="114" t="s"/>
      <c r="I1" s="114" t="s"/>
      <c r="J1" s="114" t="s"/>
      <c r="K1" s="114" t="s"/>
      <c r="L1" s="114" t="s"/>
    </row>
    <row customHeight="true" ht="18.9500007629395" outlineLevel="0" r="2">
      <c r="A2" s="67" t="n"/>
      <c r="B2" s="67" t="s"/>
      <c r="C2" s="67" t="s"/>
      <c r="D2" s="67" t="s"/>
      <c r="E2" s="67" t="s"/>
      <c r="F2" s="67" t="s"/>
      <c r="G2" s="67" t="s"/>
      <c r="H2" s="67" t="s"/>
      <c r="I2" s="67" t="s"/>
      <c r="J2" s="67" t="s"/>
      <c r="K2" s="67" t="s"/>
      <c r="L2" s="67" t="s"/>
    </row>
    <row customFormat="true" ht="15.75" outlineLevel="0" r="3" s="69">
      <c r="A3" s="70" t="n"/>
      <c r="B3" s="70" t="s"/>
      <c r="C3" s="70" t="s"/>
      <c r="D3" s="70" t="s"/>
      <c r="E3" s="70" t="s"/>
      <c r="F3" s="70" t="s"/>
      <c r="G3" s="70" t="s"/>
      <c r="H3" s="70" t="s"/>
      <c r="I3" s="70" t="s"/>
      <c r="J3" s="70" t="n"/>
      <c r="K3" s="70" t="n"/>
      <c r="M3" s="70" t="n"/>
      <c r="N3" s="70" t="n"/>
    </row>
    <row customHeight="true" ht="15.75" outlineLevel="0" r="4">
      <c r="A4" s="71" t="s">
        <v>58</v>
      </c>
      <c r="B4" s="72" t="s">
        <v>59</v>
      </c>
      <c r="C4" s="73" t="s"/>
      <c r="D4" s="73" t="s"/>
      <c r="E4" s="73" t="s"/>
      <c r="F4" s="73" t="s"/>
      <c r="G4" s="73" t="s"/>
      <c r="H4" s="74" t="s"/>
      <c r="I4" s="75" t="s">
        <v>60</v>
      </c>
      <c r="J4" s="75" t="s">
        <v>85</v>
      </c>
      <c r="K4" s="75" t="s">
        <v>86</v>
      </c>
      <c r="L4" s="76" t="s">
        <v>5</v>
      </c>
      <c r="M4" s="75" t="n"/>
    </row>
    <row customHeight="true" ht="18.9500007629395" outlineLevel="0" r="5">
      <c r="A5" s="78" t="s"/>
      <c r="B5" s="71" t="s">
        <v>87</v>
      </c>
      <c r="C5" s="75" t="s">
        <v>88</v>
      </c>
      <c r="D5" s="71" t="s">
        <v>89</v>
      </c>
      <c r="E5" s="75" t="s">
        <v>90</v>
      </c>
      <c r="F5" s="71" t="s">
        <v>63</v>
      </c>
      <c r="G5" s="75" t="s">
        <v>91</v>
      </c>
      <c r="H5" s="75" t="s">
        <v>92</v>
      </c>
      <c r="I5" s="79" t="s"/>
      <c r="J5" s="79" t="s"/>
      <c r="K5" s="79" t="s"/>
      <c r="L5" s="80" t="s"/>
      <c r="M5" s="79" t="s"/>
    </row>
    <row customHeight="true" ht="18.9500007629395" outlineLevel="0" r="6">
      <c r="A6" s="78" t="s"/>
      <c r="B6" s="78" t="s"/>
      <c r="C6" s="79" t="s"/>
      <c r="D6" s="78" t="s"/>
      <c r="E6" s="79" t="s"/>
      <c r="F6" s="78" t="s"/>
      <c r="G6" s="79" t="s"/>
      <c r="H6" s="79" t="s"/>
      <c r="I6" s="79" t="s"/>
      <c r="J6" s="79" t="s"/>
      <c r="K6" s="79" t="s"/>
      <c r="L6" s="80" t="s"/>
      <c r="M6" s="79" t="s"/>
    </row>
    <row customHeight="true" ht="105.75" outlineLevel="0" r="7">
      <c r="A7" s="82" t="s"/>
      <c r="B7" s="82" t="s"/>
      <c r="C7" s="83" t="s"/>
      <c r="D7" s="82" t="s"/>
      <c r="E7" s="83" t="s"/>
      <c r="F7" s="82" t="s"/>
      <c r="G7" s="83" t="s"/>
      <c r="H7" s="83" t="s"/>
      <c r="I7" s="83" t="s"/>
      <c r="J7" s="83" t="s"/>
      <c r="K7" s="83" t="s"/>
      <c r="L7" s="84" t="s"/>
      <c r="M7" s="83" t="s"/>
    </row>
    <row customFormat="true" ht="15.75" outlineLevel="0" r="8" s="67">
      <c r="A8" s="75" t="n">
        <v>1</v>
      </c>
      <c r="B8" s="75" t="n">
        <v>2</v>
      </c>
      <c r="C8" s="75" t="n">
        <v>3</v>
      </c>
      <c r="D8" s="75" t="n">
        <v>4</v>
      </c>
      <c r="E8" s="75" t="n">
        <v>5</v>
      </c>
      <c r="F8" s="75" t="n">
        <v>6</v>
      </c>
      <c r="G8" s="75" t="n">
        <v>7</v>
      </c>
      <c r="H8" s="75" t="n">
        <v>8</v>
      </c>
      <c r="I8" s="75" t="n">
        <v>9</v>
      </c>
      <c r="J8" s="75" t="n">
        <v>10</v>
      </c>
      <c r="K8" s="75" t="n">
        <v>11</v>
      </c>
      <c r="L8" s="75" t="n">
        <v>12</v>
      </c>
      <c r="M8" s="75" t="n"/>
    </row>
    <row ht="31.5" outlineLevel="0" r="9">
      <c r="A9" s="115" t="s">
        <v>46</v>
      </c>
      <c r="B9" s="116" t="n">
        <f aca="false" ca="false" dt2D="false" dtr="false" t="normal">' РАСЧЕТЫ по ГРБС 2022'!K4</f>
        <v>0.64</v>
      </c>
      <c r="C9" s="117" t="n">
        <f aca="false" ca="false" dt2D="false" dtr="false" t="normal">' РАСЧЕТЫ по ГРБС 2022'!L4</f>
        <v>0.2</v>
      </c>
      <c r="D9" s="117" t="n">
        <f aca="false" ca="false" dt2D="false" dtr="false" t="normal">' РАСЧЕТЫ по ГРБС 2022'!M4</f>
        <v>0.28571</v>
      </c>
      <c r="E9" s="117" t="n">
        <f aca="false" ca="false" dt2D="false" dtr="false" t="normal">' РАСЧЕТЫ по ГРБС 2022'!N4</f>
        <v>0</v>
      </c>
      <c r="F9" s="116" t="n">
        <f aca="false" ca="false" dt2D="false" dtr="false" t="normal">' РАСЧЕТЫ по ГРБС 2022'!O4</f>
        <v>2.6</v>
      </c>
      <c r="G9" s="118" t="n">
        <f aca="false" ca="false" dt2D="false" dtr="false" t="normal">' РАСЧЕТЫ по ГРБС 2022'!P4</f>
        <v>0.74</v>
      </c>
      <c r="H9" s="116" t="n">
        <f aca="false" ca="false" dt2D="false" dtr="false" t="normal">' РАСЧЕТЫ по ГРБС 2022'!Q4</f>
        <v>0.2</v>
      </c>
      <c r="I9" s="119" t="n">
        <f aca="false" ca="false" dt2D="false" dtr="false" t="normal">SUM(B9:H9)</f>
        <v>4.665710000000001</v>
      </c>
      <c r="J9" s="120" t="n">
        <v>1.8</v>
      </c>
      <c r="K9" s="121" t="n">
        <f aca="false" ca="false" dt2D="false" dtr="false" t="normal">ROUND(I9*J9, 2)</f>
        <v>8.4</v>
      </c>
      <c r="L9" s="122" t="n">
        <v>1</v>
      </c>
      <c r="M9" s="94" t="n">
        <v>8.39</v>
      </c>
      <c r="N9" s="95" t="n">
        <f aca="false" ca="false" dt2D="false" dtr="false" t="normal">K9-M9</f>
        <v>0.009999999999999787</v>
      </c>
    </row>
    <row ht="31.5" outlineLevel="0" r="10">
      <c r="A10" s="115" t="s">
        <v>48</v>
      </c>
      <c r="B10" s="123" t="n">
        <v>0.61</v>
      </c>
      <c r="C10" s="116" t="n">
        <v>0.87</v>
      </c>
      <c r="D10" s="118" t="n">
        <v>1.39</v>
      </c>
      <c r="E10" s="118" t="n">
        <v>0.24</v>
      </c>
      <c r="F10" s="117" t="n">
        <v>0.78</v>
      </c>
      <c r="G10" s="122" t="s">
        <v>93</v>
      </c>
      <c r="H10" s="123" t="n">
        <v>0.14</v>
      </c>
      <c r="I10" s="124" t="n">
        <f aca="false" ca="false" dt2D="false" dtr="false" t="normal">SUM(B10:H10)</f>
        <v>4.03</v>
      </c>
      <c r="J10" s="120" t="n">
        <v>1.8</v>
      </c>
      <c r="K10" s="125" t="n">
        <f aca="false" ca="false" dt2D="false" dtr="false" t="normal">ROUND(I10*J10, 2)</f>
        <v>7.25</v>
      </c>
      <c r="L10" s="122" t="n">
        <v>2</v>
      </c>
      <c r="M10" s="94" t="n">
        <v>7.25</v>
      </c>
      <c r="N10" s="95" t="n">
        <f aca="false" ca="false" dt2D="false" dtr="false" t="normal">K10-M10</f>
        <v>0</v>
      </c>
    </row>
    <row ht="31.5" outlineLevel="0" r="11">
      <c r="A11" s="115" t="s">
        <v>50</v>
      </c>
      <c r="B11" s="117" t="n">
        <v>0.88</v>
      </c>
      <c r="C11" s="116" t="n">
        <v>1.04</v>
      </c>
      <c r="D11" s="117" t="n">
        <v>1.32</v>
      </c>
      <c r="E11" s="117" t="n">
        <v>0.23</v>
      </c>
      <c r="F11" s="116" t="n">
        <v>0.75</v>
      </c>
      <c r="G11" s="117" t="n">
        <v>0.09</v>
      </c>
      <c r="H11" s="116" t="n">
        <v>0.17</v>
      </c>
      <c r="I11" s="119" t="n">
        <f aca="false" ca="false" dt2D="false" dtr="false" t="normal">SUM(B11:H11)</f>
        <v>4.48</v>
      </c>
      <c r="J11" s="120" t="n">
        <v>1.6</v>
      </c>
      <c r="K11" s="125" t="n">
        <f aca="false" ca="false" dt2D="false" dtr="false" t="normal">ROUND(I11*J11, 2)</f>
        <v>7.17</v>
      </c>
      <c r="L11" s="122" t="n">
        <v>3</v>
      </c>
      <c r="M11" s="94" t="n">
        <v>7.17</v>
      </c>
      <c r="N11" s="95" t="n">
        <f aca="false" ca="false" dt2D="false" dtr="false" t="normal">K11-M11</f>
        <v>0</v>
      </c>
    </row>
    <row ht="31.5" outlineLevel="0" r="12">
      <c r="A12" s="115" t="s">
        <v>54</v>
      </c>
      <c r="B12" s="116" t="n">
        <v>0.72</v>
      </c>
      <c r="C12" s="123" t="n">
        <v>0.52</v>
      </c>
      <c r="D12" s="117" t="n">
        <v>1.14</v>
      </c>
      <c r="E12" s="118" t="n">
        <v>0.24</v>
      </c>
      <c r="F12" s="117" t="n">
        <v>0.78</v>
      </c>
      <c r="G12" s="122" t="s">
        <v>93</v>
      </c>
      <c r="H12" s="117" t="n">
        <v>0.18</v>
      </c>
      <c r="I12" s="124" t="n">
        <f aca="false" ca="false" dt2D="false" dtr="false" t="normal">SUM(B12:H12)</f>
        <v>3.5800000000000005</v>
      </c>
      <c r="J12" s="120" t="n">
        <v>1.8</v>
      </c>
      <c r="K12" s="125" t="n">
        <f aca="false" ca="false" dt2D="false" dtr="false" t="normal">ROUND(I12*J12, 2)</f>
        <v>6.44</v>
      </c>
      <c r="L12" s="122" t="n">
        <v>4</v>
      </c>
      <c r="M12" s="94" t="n">
        <v>6.44</v>
      </c>
      <c r="N12" s="95" t="n">
        <f aca="false" ca="false" dt2D="false" dtr="false" t="normal">K12-M12</f>
        <v>0</v>
      </c>
    </row>
    <row customFormat="true" ht="15.75" outlineLevel="0" r="13" s="126">
      <c r="A13" s="127" t="s">
        <v>13</v>
      </c>
      <c r="B13" s="128" t="n">
        <f aca="false" ca="false" dt2D="false" dtr="false" t="normal">' РАСЧЕТЫ по ГРБС 2022'!K4</f>
        <v>0.64</v>
      </c>
      <c r="C13" s="129" t="n">
        <f aca="false" ca="false" dt2D="false" dtr="false" t="normal">' РАСЧЕТЫ по ГРБС 2022'!K10</f>
        <v>1.56</v>
      </c>
      <c r="D13" s="128" t="n"/>
      <c r="E13" s="130" t="n"/>
      <c r="F13" s="129" t="n"/>
      <c r="G13" s="131" t="n"/>
      <c r="H13" s="129" t="n"/>
      <c r="I13" s="132" t="n">
        <f aca="false" ca="false" dt2D="false" dtr="false" t="normal">SUM(B13:H13)</f>
        <v>2.2</v>
      </c>
      <c r="J13" s="94" t="n">
        <v>1.4</v>
      </c>
      <c r="K13" s="133" t="n">
        <f aca="false" ca="false" dt2D="false" dtr="false" t="normal">ROUND(I13*J13, 2)</f>
        <v>3.08</v>
      </c>
      <c r="L13" s="131" t="n">
        <v>5</v>
      </c>
      <c r="M13" s="94" t="n">
        <v>5.7</v>
      </c>
      <c r="N13" s="134" t="n">
        <f aca="false" ca="false" dt2D="false" dtr="false" t="normal">K13-M13</f>
        <v>-2.62</v>
      </c>
    </row>
    <row ht="31.5" outlineLevel="0" r="14">
      <c r="A14" s="115" t="s">
        <v>47</v>
      </c>
      <c r="B14" s="117" t="n">
        <v>0.98</v>
      </c>
      <c r="C14" s="117" t="n">
        <v>1.13</v>
      </c>
      <c r="D14" s="117" t="n">
        <v>1.32</v>
      </c>
      <c r="E14" s="123" t="n">
        <v>0</v>
      </c>
      <c r="F14" s="116" t="n">
        <v>0.75</v>
      </c>
      <c r="G14" s="118" t="n">
        <v>0.23</v>
      </c>
      <c r="H14" s="116" t="n">
        <v>0.17</v>
      </c>
      <c r="I14" s="119" t="n">
        <f aca="false" ca="false" dt2D="false" dtr="false" t="normal">SUM(B14:H14)</f>
        <v>4.58</v>
      </c>
      <c r="J14" s="120" t="n">
        <v>1.2</v>
      </c>
      <c r="K14" s="125" t="n">
        <f aca="false" ca="false" dt2D="false" dtr="false" t="normal">ROUND(I14*J14, 2)</f>
        <v>5.5</v>
      </c>
      <c r="L14" s="122" t="n">
        <v>6</v>
      </c>
      <c r="M14" s="94" t="n">
        <v>5.5</v>
      </c>
      <c r="N14" s="95" t="n">
        <f aca="false" ca="false" dt2D="false" dtr="false" t="normal">K14-M14</f>
        <v>0</v>
      </c>
    </row>
    <row ht="31.5" outlineLevel="0" r="15">
      <c r="A15" s="135" t="s">
        <v>53</v>
      </c>
      <c r="B15" s="118" t="n">
        <v>1.02</v>
      </c>
      <c r="C15" s="117" t="n">
        <v>1.09</v>
      </c>
      <c r="D15" s="116" t="n">
        <v>0.97</v>
      </c>
      <c r="E15" s="118" t="n">
        <v>0.24</v>
      </c>
      <c r="F15" s="117" t="n">
        <v>0.78</v>
      </c>
      <c r="G15" s="122" t="s">
        <v>93</v>
      </c>
      <c r="H15" s="117" t="n">
        <v>0.18</v>
      </c>
      <c r="I15" s="119" t="n">
        <f aca="false" ca="false" dt2D="false" dtr="false" t="normal">SUM(B15:H15)</f>
        <v>4.28</v>
      </c>
      <c r="J15" s="120" t="n">
        <v>1.2</v>
      </c>
      <c r="K15" s="136" t="n">
        <f aca="false" ca="false" dt2D="false" dtr="false" t="normal">ROUND(I15*J15, 2)</f>
        <v>5.14</v>
      </c>
      <c r="L15" s="122" t="n">
        <v>7</v>
      </c>
      <c r="M15" s="94" t="n">
        <v>5.14</v>
      </c>
      <c r="N15" s="95" t="n">
        <f aca="false" ca="false" dt2D="false" dtr="false" t="normal">K15-M15</f>
        <v>0</v>
      </c>
    </row>
    <row ht="31.5" outlineLevel="0" r="16">
      <c r="A16" s="115" t="s">
        <v>44</v>
      </c>
      <c r="B16" s="118" t="n">
        <v>1.02</v>
      </c>
      <c r="C16" s="116" t="n">
        <v>0.97</v>
      </c>
      <c r="D16" s="117" t="n">
        <v>1.22</v>
      </c>
      <c r="E16" s="123" t="n">
        <v>0</v>
      </c>
      <c r="F16" s="117" t="n">
        <v>0.78</v>
      </c>
      <c r="G16" s="122" t="s">
        <v>93</v>
      </c>
      <c r="H16" s="117" t="n">
        <v>0.18</v>
      </c>
      <c r="I16" s="124" t="n">
        <f aca="false" ca="false" dt2D="false" dtr="false" t="normal">SUM(B16:H16)</f>
        <v>4.17</v>
      </c>
      <c r="J16" s="120" t="n">
        <v>1.2</v>
      </c>
      <c r="K16" s="136" t="n">
        <f aca="false" ca="false" dt2D="false" dtr="false" t="normal">ROUND(I16*J16, 2)</f>
        <v>5</v>
      </c>
      <c r="L16" s="122" t="n">
        <v>8</v>
      </c>
      <c r="M16" s="94" t="n">
        <v>5</v>
      </c>
      <c r="N16" s="95" t="n">
        <f aca="false" ca="false" dt2D="false" dtr="false" t="normal">K16-M16</f>
        <v>0</v>
      </c>
    </row>
    <row ht="31.5" outlineLevel="0" r="17">
      <c r="A17" s="115" t="s">
        <v>37</v>
      </c>
      <c r="B17" s="118" t="n">
        <v>1.02</v>
      </c>
      <c r="C17" s="117" t="n">
        <v>1.29</v>
      </c>
      <c r="D17" s="118" t="n">
        <v>1.39</v>
      </c>
      <c r="E17" s="118" t="n">
        <v>0.24</v>
      </c>
      <c r="F17" s="117" t="n">
        <v>0.78</v>
      </c>
      <c r="G17" s="122" t="s">
        <v>93</v>
      </c>
      <c r="H17" s="117" t="n">
        <v>0.18</v>
      </c>
      <c r="I17" s="137" t="n">
        <f aca="false" ca="false" dt2D="false" dtr="false" t="normal">SUM(B17:H17)</f>
        <v>4.9</v>
      </c>
      <c r="J17" s="120" t="n">
        <v>1</v>
      </c>
      <c r="K17" s="136" t="n">
        <f aca="false" ca="false" dt2D="false" dtr="false" t="normal">ROUND(I17*J17, 2)</f>
        <v>4.9</v>
      </c>
      <c r="L17" s="122" t="n">
        <v>9</v>
      </c>
      <c r="M17" s="94" t="n">
        <v>4.9</v>
      </c>
      <c r="N17" s="95" t="n">
        <f aca="false" ca="false" dt2D="false" dtr="false" t="normal">K17-M17</f>
        <v>0</v>
      </c>
    </row>
    <row outlineLevel="0" r="18">
      <c r="A18" s="115" t="s">
        <v>42</v>
      </c>
      <c r="B18" s="118" t="n">
        <v>1.02</v>
      </c>
      <c r="C18" s="117" t="n">
        <v>1.24</v>
      </c>
      <c r="D18" s="117" t="n">
        <v>1.3</v>
      </c>
      <c r="E18" s="118" t="n">
        <v>0.24</v>
      </c>
      <c r="F18" s="117" t="n">
        <v>0.78</v>
      </c>
      <c r="G18" s="122" t="s">
        <v>93</v>
      </c>
      <c r="H18" s="117" t="n">
        <v>0.18</v>
      </c>
      <c r="I18" s="119" t="n">
        <f aca="false" ca="false" dt2D="false" dtr="false" t="normal">SUM(B18:H18)</f>
        <v>4.76</v>
      </c>
      <c r="J18" s="120" t="n">
        <v>1</v>
      </c>
      <c r="K18" s="136" t="n">
        <f aca="false" ca="false" dt2D="false" dtr="false" t="normal">ROUND(I18*J18, 2)</f>
        <v>4.76</v>
      </c>
      <c r="L18" s="122" t="n">
        <v>10</v>
      </c>
      <c r="M18" s="94" t="n">
        <v>4.76</v>
      </c>
      <c r="N18" s="95" t="n">
        <f aca="false" ca="false" dt2D="false" dtr="false" t="normal">K18-M18</f>
        <v>0</v>
      </c>
    </row>
    <row ht="31.5" outlineLevel="0" r="19">
      <c r="A19" s="115" t="s">
        <v>49</v>
      </c>
      <c r="B19" s="117" t="n">
        <v>0.92</v>
      </c>
      <c r="C19" s="116" t="n">
        <v>1.02</v>
      </c>
      <c r="D19" s="118" t="n">
        <v>1.39</v>
      </c>
      <c r="E19" s="118" t="n">
        <v>0.24</v>
      </c>
      <c r="F19" s="117" t="n">
        <v>0.78</v>
      </c>
      <c r="G19" s="122" t="s">
        <v>93</v>
      </c>
      <c r="H19" s="117" t="n">
        <v>0.18</v>
      </c>
      <c r="I19" s="119" t="n">
        <f aca="false" ca="false" dt2D="false" dtr="false" t="normal">SUM(B19:H19)</f>
        <v>4.53</v>
      </c>
      <c r="J19" s="120" t="n">
        <v>1</v>
      </c>
      <c r="K19" s="136" t="n">
        <f aca="false" ca="false" dt2D="false" dtr="false" t="normal">ROUND(I19*J19, 2)</f>
        <v>4.53</v>
      </c>
      <c r="L19" s="122" t="n">
        <v>11</v>
      </c>
      <c r="M19" s="94" t="n">
        <v>4.53</v>
      </c>
      <c r="N19" s="95" t="n">
        <f aca="false" ca="false" dt2D="false" dtr="false" t="normal">K19-M19</f>
        <v>0</v>
      </c>
    </row>
    <row ht="31.5" outlineLevel="0" r="20">
      <c r="A20" s="115" t="s">
        <v>38</v>
      </c>
      <c r="B20" s="118" t="n">
        <v>1.02</v>
      </c>
      <c r="C20" s="117" t="n">
        <v>1.09</v>
      </c>
      <c r="D20" s="116" t="n">
        <v>0.97</v>
      </c>
      <c r="E20" s="118" t="n">
        <v>0.24</v>
      </c>
      <c r="F20" s="117" t="n">
        <v>0.78</v>
      </c>
      <c r="G20" s="122" t="s">
        <v>93</v>
      </c>
      <c r="H20" s="117" t="n">
        <v>0.18</v>
      </c>
      <c r="I20" s="119" t="n">
        <f aca="false" ca="false" dt2D="false" dtr="false" t="normal">SUM(B20:H20)</f>
        <v>4.28</v>
      </c>
      <c r="J20" s="120" t="n">
        <v>1</v>
      </c>
      <c r="K20" s="136" t="n">
        <f aca="false" ca="false" dt2D="false" dtr="false" t="normal">ROUND(I20*J20, 2)</f>
        <v>4.28</v>
      </c>
      <c r="L20" s="122" t="n">
        <v>12</v>
      </c>
      <c r="M20" s="94" t="n">
        <v>4.28</v>
      </c>
      <c r="N20" s="95" t="n">
        <f aca="false" ca="false" dt2D="false" dtr="false" t="normal">K20-M20</f>
        <v>0</v>
      </c>
    </row>
    <row ht="47.25" outlineLevel="0" r="21">
      <c r="A21" s="115" t="s">
        <v>40</v>
      </c>
      <c r="B21" s="117" t="n">
        <v>0.92</v>
      </c>
      <c r="C21" s="117" t="n">
        <v>1.12</v>
      </c>
      <c r="D21" s="123" t="n">
        <v>0.25</v>
      </c>
      <c r="E21" s="118" t="n">
        <v>0.24</v>
      </c>
      <c r="F21" s="117" t="n">
        <v>0.78</v>
      </c>
      <c r="G21" s="122" t="s">
        <v>93</v>
      </c>
      <c r="H21" s="117" t="n">
        <v>0.18</v>
      </c>
      <c r="I21" s="138" t="n">
        <f aca="false" ca="false" dt2D="false" dtr="false" t="normal">SUM(B21:H21)</f>
        <v>3.4900000000000007</v>
      </c>
      <c r="J21" s="120" t="n">
        <v>1</v>
      </c>
      <c r="K21" s="136" t="n">
        <f aca="false" ca="false" dt2D="false" dtr="false" t="normal">ROUND(I21*J21, 2)</f>
        <v>3.49</v>
      </c>
      <c r="L21" s="122" t="n">
        <v>13</v>
      </c>
      <c r="M21" s="94" t="n">
        <v>3.49</v>
      </c>
      <c r="N21" s="95" t="n">
        <f aca="false" ca="false" dt2D="false" dtr="false" t="normal">K21-M21</f>
        <v>0</v>
      </c>
    </row>
    <row customHeight="true" ht="32.25" outlineLevel="0" r="22">
      <c r="A22" s="139" t="s">
        <v>80</v>
      </c>
      <c r="B22" s="140" t="n">
        <v>0.72</v>
      </c>
      <c r="C22" s="141" t="n">
        <v>1.34</v>
      </c>
      <c r="D22" s="142" t="n">
        <v>0.25</v>
      </c>
      <c r="E22" s="141" t="n">
        <v>0.24</v>
      </c>
      <c r="F22" s="143" t="n">
        <v>0.78</v>
      </c>
      <c r="G22" s="144" t="s">
        <v>93</v>
      </c>
      <c r="H22" s="143" t="n">
        <v>0.18</v>
      </c>
      <c r="I22" s="145" t="n">
        <f aca="false" ca="false" dt2D="false" dtr="false" t="normal">SUM(B22:H22)</f>
        <v>3.5100000000000002</v>
      </c>
      <c r="J22" s="146" t="n">
        <v>0.8</v>
      </c>
      <c r="K22" s="147" t="n">
        <f aca="false" ca="false" dt2D="false" dtr="false" t="normal">ROUND(I22*J22, 2)</f>
        <v>2.81</v>
      </c>
      <c r="L22" s="144" t="n">
        <v>14</v>
      </c>
      <c r="M22" s="148" t="n">
        <v>2.81</v>
      </c>
      <c r="N22" s="95" t="n">
        <f aca="false" ca="false" dt2D="false" dtr="false" t="normal">K22-M22</f>
        <v>0</v>
      </c>
    </row>
    <row customFormat="true" ht="15.75" outlineLevel="0" r="23" s="109">
      <c r="A23" s="149" t="s">
        <v>23</v>
      </c>
      <c r="B23" s="150" t="n">
        <f aca="false" ca="false" dt2D="false" dtr="false" t="normal">SUM(B9:B22)</f>
        <v>12.129999999999999</v>
      </c>
      <c r="C23" s="150" t="n">
        <f aca="false" ca="false" dt2D="false" dtr="false" t="normal">SUM(C9:C22)</f>
        <v>14.48</v>
      </c>
      <c r="D23" s="150" t="n">
        <f aca="false" ca="false" dt2D="false" dtr="false" t="normal">SUM(D9:D22)</f>
        <v>13.195710000000002</v>
      </c>
      <c r="E23" s="150" t="n">
        <f aca="false" ca="false" dt2D="false" dtr="false" t="normal">SUM(E9:E22)</f>
        <v>2.3899999999999997</v>
      </c>
      <c r="F23" s="150" t="n">
        <f aca="false" ca="false" dt2D="false" dtr="false" t="normal">SUM(F9:F22)</f>
        <v>11.899999999999997</v>
      </c>
      <c r="G23" s="150" t="n">
        <f aca="false" ca="false" dt2D="false" dtr="false" t="normal">SUM(G9:G22)</f>
        <v>1.06</v>
      </c>
      <c r="H23" s="150" t="n">
        <f aca="false" ca="false" dt2D="false" dtr="false" t="normal">SUM(H9:H22)</f>
        <v>2.3</v>
      </c>
      <c r="I23" s="150" t="n">
        <f aca="false" ca="false" dt2D="false" dtr="false" t="normal">SUM(I9:I22)</f>
        <v>57.45571</v>
      </c>
      <c r="J23" s="150" t="n">
        <f aca="false" ca="false" dt2D="false" dtr="false" t="normal">SUM(J9:J22)</f>
        <v>17.8</v>
      </c>
      <c r="K23" s="150" t="n">
        <f aca="false" ca="false" dt2D="false" dtr="false" t="normal">SUM(K9:K22)</f>
        <v>72.75</v>
      </c>
      <c r="L23" s="150" t="n"/>
    </row>
    <row customFormat="true" ht="15.75" outlineLevel="0" r="24" s="109">
      <c r="A24" s="149" t="s">
        <v>24</v>
      </c>
      <c r="B24" s="150" t="n">
        <f aca="false" ca="false" dt2D="false" dtr="false" t="normal">ROUND(B23/14, 2)</f>
        <v>0.87</v>
      </c>
      <c r="C24" s="150" t="n">
        <f aca="false" ca="false" dt2D="false" dtr="false" t="normal">ROUND(C23/14, 2)</f>
        <v>1.03</v>
      </c>
      <c r="D24" s="150" t="n">
        <f aca="false" ca="false" dt2D="false" dtr="false" t="normal">ROUND(D23/14, 2)</f>
        <v>0.94</v>
      </c>
      <c r="E24" s="150" t="n">
        <f aca="false" ca="false" dt2D="false" dtr="false" t="normal">ROUND(E23/14, 2)</f>
        <v>0.17</v>
      </c>
      <c r="F24" s="150" t="n">
        <f aca="false" ca="false" dt2D="false" dtr="false" t="normal">ROUND(F23/14, 2)</f>
        <v>0.85</v>
      </c>
      <c r="G24" s="150" t="n">
        <f aca="false" ca="false" dt2D="false" dtr="false" t="normal">ROUND(G23/14, 2)</f>
        <v>0.08</v>
      </c>
      <c r="H24" s="150" t="n">
        <f aca="false" ca="false" dt2D="false" dtr="false" t="normal">ROUND(H23/14, 2)</f>
        <v>0.16</v>
      </c>
      <c r="I24" s="150" t="n">
        <f aca="false" ca="false" dt2D="false" dtr="false" t="normal">ROUND(I23/14, 2)</f>
        <v>4.1</v>
      </c>
      <c r="J24" s="150" t="n">
        <f aca="false" ca="false" dt2D="false" dtr="false" t="normal">ROUND(J23/14, 2)</f>
        <v>1.27</v>
      </c>
      <c r="K24" s="150" t="n">
        <f aca="false" ca="false" dt2D="false" dtr="false" t="normal">ROUND(K23/14, 2)</f>
        <v>5.2</v>
      </c>
      <c r="L24" s="150" t="n"/>
    </row>
    <row outlineLevel="0" r="27">
      <c r="A27" s="62" t="s">
        <v>25</v>
      </c>
      <c r="B27" s="63" t="n"/>
    </row>
    <row outlineLevel="0" r="28">
      <c r="A28" s="62" t="s">
        <v>26</v>
      </c>
      <c r="B28" s="64" t="n"/>
    </row>
    <row outlineLevel="0" r="29">
      <c r="A29" s="62" t="s">
        <v>27</v>
      </c>
      <c r="B29" s="65" t="n"/>
    </row>
    <row outlineLevel="0" r="30">
      <c r="A30" s="62" t="s">
        <v>28</v>
      </c>
      <c r="B30" s="66" t="n"/>
    </row>
  </sheetData>
  <mergeCells count="17">
    <mergeCell ref="A1:L1"/>
    <mergeCell ref="A2:L2"/>
    <mergeCell ref="A3:I3"/>
    <mergeCell ref="B4:H4"/>
    <mergeCell ref="M4:M7"/>
    <mergeCell ref="L4:L7"/>
    <mergeCell ref="K4:K7"/>
    <mergeCell ref="J4:J7"/>
    <mergeCell ref="I4:I7"/>
    <mergeCell ref="H5:H7"/>
    <mergeCell ref="G5:G7"/>
    <mergeCell ref="F5:F7"/>
    <mergeCell ref="E5:E7"/>
    <mergeCell ref="D5:D7"/>
    <mergeCell ref="C5:C7"/>
    <mergeCell ref="B5:B7"/>
    <mergeCell ref="A4:A7"/>
  </mergeCells>
  <pageMargins bottom="0.15748031437397" footer="0.15748031437397" header="0.15748031437397" left="0.0393700785934925" right="0.0393700785934925" top="0.15748031437397"/>
  <pageSetup fitToHeight="1" fitToWidth="1" orientation="portrait" paperHeight="420mm" paperSize="8" paperWidth="297mm" scale="6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R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6.85546898194269"/>
    <col customWidth="true" max="2" min="2" outlineLevel="0" style="52" width="8.42578112907261"/>
    <col customWidth="true" max="3" min="3" outlineLevel="0" style="3" width="50.855468305278"/>
    <col customWidth="true" max="4" min="4" outlineLevel="0" style="3" width="15.0000005074985"/>
    <col bestFit="true" customWidth="true" hidden="true" max="5" min="5" outlineLevel="0" style="3" width="9.14062530925693"/>
    <col bestFit="true" customWidth="true" hidden="true" max="6" min="6" outlineLevel="0" style="1" width="9.14062530925693"/>
    <col customWidth="true" max="7" min="7" outlineLevel="0" style="1" width="5.42578129823879"/>
    <col customWidth="true" max="8" min="8" outlineLevel="0" style="1" width="3.85546881277651"/>
    <col bestFit="true" customWidth="true" hidden="true" max="9" min="9" outlineLevel="0" style="1" width="9.14062530925693"/>
    <col customWidth="true" hidden="true" max="10" min="10" outlineLevel="0" style="151" width="46.7109401630457"/>
    <col bestFit="true" customWidth="true" hidden="true" max="18" min="11" outlineLevel="0" style="1" width="9.14062530925693"/>
    <col bestFit="true" customWidth="true" max="16384" min="19" outlineLevel="0" style="1" width="9.14062530925693"/>
  </cols>
  <sheetData>
    <row ht="15.75" outlineLevel="0" r="2">
      <c r="A2" s="152" t="s">
        <v>94</v>
      </c>
      <c r="B2" s="152" t="s"/>
      <c r="C2" s="152" t="s"/>
      <c r="D2" s="152" t="s"/>
    </row>
    <row ht="15.75" outlineLevel="0" r="3">
      <c r="A3" s="152" t="n"/>
      <c r="B3" s="152" t="s"/>
      <c r="C3" s="152" t="s"/>
      <c r="D3" s="152" t="s"/>
    </row>
    <row customHeight="true" ht="60.75" outlineLevel="0" r="5">
      <c r="A5" s="53" t="s">
        <v>34</v>
      </c>
      <c r="B5" s="53" t="s">
        <v>35</v>
      </c>
      <c r="C5" s="53" t="s">
        <v>2</v>
      </c>
      <c r="D5" s="153" t="s">
        <v>95</v>
      </c>
    </row>
    <row customFormat="true" ht="30" outlineLevel="0" r="6" s="14">
      <c r="A6" s="96" t="s">
        <v>66</v>
      </c>
      <c r="B6" s="58" t="n">
        <v>609</v>
      </c>
      <c r="C6" s="58" t="s">
        <v>37</v>
      </c>
      <c r="D6" s="154" t="n">
        <f aca="false" ca="false" dt2D="false" dtr="false" t="normal">' РАСЧЕТЫ по ГРБС 2022'!AO35</f>
        <v>4.42</v>
      </c>
      <c r="E6" s="21" t="n">
        <v>609</v>
      </c>
      <c r="F6" s="96" t="s">
        <v>66</v>
      </c>
      <c r="I6" s="155" t="n">
        <v>601</v>
      </c>
      <c r="J6" s="155" t="s">
        <v>13</v>
      </c>
      <c r="K6" s="155" t="n">
        <v>3.64</v>
      </c>
      <c r="O6" s="14" t="s">
        <v>66</v>
      </c>
      <c r="P6" s="14" t="n">
        <v>609</v>
      </c>
      <c r="Q6" s="14" t="s">
        <v>37</v>
      </c>
      <c r="R6" s="14" t="n">
        <v>3.84</v>
      </c>
    </row>
    <row ht="30" outlineLevel="0" r="7">
      <c r="A7" s="96" t="s">
        <v>67</v>
      </c>
      <c r="B7" s="21" t="n">
        <v>618</v>
      </c>
      <c r="C7" s="21" t="s">
        <v>38</v>
      </c>
      <c r="D7" s="154" t="n">
        <f aca="false" ca="false" dt2D="false" dtr="false" t="normal">' РАСЧЕТЫ по ГРБС 2022'!BD35</f>
        <v>4.08</v>
      </c>
      <c r="E7" s="21" t="n">
        <v>618</v>
      </c>
      <c r="F7" s="96" t="s">
        <v>77</v>
      </c>
      <c r="I7" s="42" t="n">
        <v>611</v>
      </c>
      <c r="J7" s="42" t="s">
        <v>47</v>
      </c>
      <c r="K7" s="42" t="n">
        <v>2.58</v>
      </c>
      <c r="O7" s="1" t="s">
        <v>74</v>
      </c>
      <c r="P7" s="1" t="n">
        <v>618</v>
      </c>
      <c r="Q7" s="1" t="s">
        <v>38</v>
      </c>
      <c r="R7" s="1" t="n">
        <v>3.37</v>
      </c>
    </row>
    <row ht="45" outlineLevel="0" r="8">
      <c r="A8" s="156" t="s">
        <v>68</v>
      </c>
      <c r="B8" s="21" t="n">
        <v>624</v>
      </c>
      <c r="C8" s="21" t="s">
        <v>40</v>
      </c>
      <c r="D8" s="154" t="n">
        <f aca="false" ca="false" dt2D="false" dtr="false" t="normal">' РАСЧЕТЫ по ГРБС 2022'!BX35</f>
        <v>3.79</v>
      </c>
      <c r="E8" s="21" t="n">
        <v>624</v>
      </c>
      <c r="F8" s="156" t="s">
        <v>75</v>
      </c>
    </row>
    <row customHeight="true" ht="25.5" outlineLevel="0" r="9">
      <c r="A9" s="96" t="s">
        <v>69</v>
      </c>
      <c r="B9" s="21" t="n">
        <v>617</v>
      </c>
      <c r="C9" s="21" t="s">
        <v>42</v>
      </c>
      <c r="D9" s="154" t="n">
        <f aca="false" ca="false" dt2D="false" dtr="false" t="normal">' РАСЧЕТЫ по ГРБС 2022'!AY35</f>
        <v>3.7600000000000002</v>
      </c>
      <c r="E9" s="21" t="n">
        <v>617</v>
      </c>
      <c r="F9" s="96" t="s">
        <v>81</v>
      </c>
      <c r="I9" s="42" t="n">
        <v>604</v>
      </c>
      <c r="J9" s="42" t="s">
        <v>49</v>
      </c>
      <c r="K9" s="42" t="n">
        <v>4.47</v>
      </c>
      <c r="O9" s="1" t="s">
        <v>68</v>
      </c>
      <c r="P9" s="1" t="n">
        <v>605</v>
      </c>
      <c r="Q9" s="1" t="s">
        <v>80</v>
      </c>
      <c r="R9" s="1" t="n">
        <v>3.85</v>
      </c>
    </row>
    <row outlineLevel="0" r="10">
      <c r="A10" s="96" t="s">
        <v>71</v>
      </c>
      <c r="B10" s="21" t="n">
        <v>601</v>
      </c>
      <c r="C10" s="21" t="s">
        <v>13</v>
      </c>
      <c r="D10" s="154" t="n">
        <f aca="false" ca="false" dt2D="false" dtr="false" t="normal">' РАСЧЕТЫ по ГРБС 2022'!K35</f>
        <v>3.7600000000000002</v>
      </c>
      <c r="E10" s="21" t="n">
        <v>601</v>
      </c>
      <c r="F10" s="96" t="s">
        <v>71</v>
      </c>
      <c r="I10" s="42" t="n">
        <v>606</v>
      </c>
      <c r="J10" s="42" t="s">
        <v>46</v>
      </c>
      <c r="K10" s="42" t="n">
        <v>3.54</v>
      </c>
      <c r="O10" s="1" t="s">
        <v>71</v>
      </c>
      <c r="P10" s="1" t="n">
        <v>601</v>
      </c>
      <c r="Q10" s="1" t="s">
        <v>13</v>
      </c>
      <c r="R10" s="1" t="n">
        <v>3.06</v>
      </c>
    </row>
    <row ht="30" outlineLevel="0" r="11">
      <c r="A11" s="156" t="s">
        <v>72</v>
      </c>
      <c r="B11" s="21" t="n">
        <v>619</v>
      </c>
      <c r="C11" s="21" t="s">
        <v>44</v>
      </c>
      <c r="D11" s="154" t="n">
        <f aca="false" ca="false" dt2D="false" dtr="false" t="normal">' РАСЧЕТЫ по ГРБС 2022'!BI35</f>
        <v>3.7199999999999998</v>
      </c>
      <c r="E11" s="21" t="n">
        <v>619</v>
      </c>
      <c r="F11" s="156" t="s">
        <v>78</v>
      </c>
    </row>
    <row ht="30" outlineLevel="0" r="12">
      <c r="A12" s="96" t="s">
        <v>73</v>
      </c>
      <c r="B12" s="21" t="n">
        <v>605</v>
      </c>
      <c r="C12" s="21" t="s">
        <v>45</v>
      </c>
      <c r="D12" s="154" t="n">
        <f aca="false" ca="false" dt2D="false" dtr="false" t="normal">' РАСЧЕТЫ по ГРБС 2022'!Z35</f>
        <v>3.6799999999999997</v>
      </c>
      <c r="E12" s="21" t="n">
        <v>605</v>
      </c>
      <c r="F12" s="96" t="s">
        <v>79</v>
      </c>
      <c r="I12" s="42" t="n">
        <v>609</v>
      </c>
      <c r="J12" s="42" t="s">
        <v>37</v>
      </c>
      <c r="K12" s="42" t="n">
        <v>4.56</v>
      </c>
      <c r="O12" s="1" t="s">
        <v>73</v>
      </c>
      <c r="P12" s="1" t="n">
        <v>607</v>
      </c>
      <c r="Q12" s="1" t="s">
        <v>50</v>
      </c>
      <c r="R12" s="1" t="n">
        <v>3.17</v>
      </c>
    </row>
    <row ht="30" outlineLevel="0" r="13">
      <c r="A13" s="157" t="n">
        <v>8</v>
      </c>
      <c r="B13" s="21" t="n">
        <v>606</v>
      </c>
      <c r="C13" s="21" t="s">
        <v>46</v>
      </c>
      <c r="D13" s="154" t="n">
        <f aca="false" ca="false" dt2D="false" dtr="false" t="normal">' РАСЧЕТЫ по ГРБС 2022'!AE35</f>
        <v>3.6399999999999997</v>
      </c>
      <c r="E13" s="21" t="n">
        <v>606</v>
      </c>
      <c r="F13" s="157" t="n">
        <v>2</v>
      </c>
      <c r="I13" s="42" t="n">
        <v>607</v>
      </c>
      <c r="J13" s="42" t="s">
        <v>50</v>
      </c>
      <c r="K13" s="42" t="n">
        <v>3.53</v>
      </c>
      <c r="O13" s="1" t="s">
        <v>72</v>
      </c>
      <c r="P13" s="1" t="n">
        <v>606</v>
      </c>
      <c r="Q13" s="1" t="s">
        <v>46</v>
      </c>
      <c r="R13" s="1" t="n">
        <v>3.67</v>
      </c>
    </row>
    <row ht="30" outlineLevel="0" r="14">
      <c r="A14" s="96" t="s">
        <v>75</v>
      </c>
      <c r="B14" s="21" t="n">
        <v>611</v>
      </c>
      <c r="C14" s="21" t="s">
        <v>47</v>
      </c>
      <c r="D14" s="154" t="n">
        <f aca="false" ca="false" dt2D="false" dtr="false" t="normal">' РАСЧЕТЫ по ГРБС 2022'!AT35</f>
        <v>3.59</v>
      </c>
      <c r="E14" s="21" t="n">
        <v>611</v>
      </c>
      <c r="F14" s="96" t="s">
        <v>68</v>
      </c>
      <c r="I14" s="42" t="n">
        <v>617</v>
      </c>
      <c r="J14" s="42" t="s">
        <v>42</v>
      </c>
      <c r="K14" s="42" t="n">
        <v>3.77</v>
      </c>
      <c r="O14" s="1" t="s">
        <v>75</v>
      </c>
      <c r="P14" s="1" t="n">
        <v>619</v>
      </c>
      <c r="Q14" s="1" t="s">
        <v>44</v>
      </c>
      <c r="R14" s="1" t="n">
        <v>3.3</v>
      </c>
    </row>
    <row ht="30" outlineLevel="0" r="15">
      <c r="A15" s="96" t="s">
        <v>76</v>
      </c>
      <c r="B15" s="21" t="n">
        <v>620</v>
      </c>
      <c r="C15" s="21" t="s">
        <v>48</v>
      </c>
      <c r="D15" s="154" t="n">
        <f aca="false" ca="false" dt2D="false" dtr="false" t="normal">' РАСЧЕТЫ по ГРБС 2022'!BN35</f>
        <v>3.5799999999999996</v>
      </c>
      <c r="E15" s="21" t="n">
        <v>620</v>
      </c>
      <c r="F15" s="96" t="s">
        <v>73</v>
      </c>
      <c r="I15" s="42" t="n">
        <v>621</v>
      </c>
      <c r="J15" s="42" t="s">
        <v>54</v>
      </c>
      <c r="K15" s="42" t="n">
        <v>2.71</v>
      </c>
      <c r="O15" s="1" t="s">
        <v>79</v>
      </c>
      <c r="P15" s="1" t="n">
        <v>611</v>
      </c>
      <c r="Q15" s="1" t="s">
        <v>47</v>
      </c>
      <c r="R15" s="1" t="n">
        <v>2.83</v>
      </c>
    </row>
    <row ht="30" outlineLevel="0" r="16">
      <c r="A16" s="157" t="n">
        <v>11</v>
      </c>
      <c r="B16" s="21" t="n">
        <v>604</v>
      </c>
      <c r="C16" s="21" t="s">
        <v>49</v>
      </c>
      <c r="D16" s="154" t="n">
        <f aca="false" ca="false" dt2D="false" dtr="false" t="normal">' РАСЧЕТЫ по ГРБС 2022'!U35</f>
        <v>3.55</v>
      </c>
      <c r="E16" s="21" t="n">
        <v>604</v>
      </c>
      <c r="F16" s="157" t="n">
        <v>6</v>
      </c>
      <c r="I16" s="42" t="n">
        <v>605</v>
      </c>
      <c r="J16" s="42" t="s">
        <v>80</v>
      </c>
      <c r="K16" s="42" t="n">
        <v>4.31</v>
      </c>
      <c r="O16" s="1" t="s">
        <v>69</v>
      </c>
      <c r="P16" s="1" t="n">
        <v>617</v>
      </c>
      <c r="Q16" s="1" t="s">
        <v>42</v>
      </c>
      <c r="R16" s="1" t="n">
        <v>3.47</v>
      </c>
    </row>
    <row ht="30" outlineLevel="0" r="17">
      <c r="A17" s="96" t="s">
        <v>78</v>
      </c>
      <c r="B17" s="21" t="n">
        <v>607</v>
      </c>
      <c r="C17" s="21" t="s">
        <v>50</v>
      </c>
      <c r="D17" s="154" t="n">
        <f aca="false" ca="false" dt2D="false" dtr="false" t="normal">' РАСЧЕТЫ по ГРБС 2022'!AJ35</f>
        <v>3.51</v>
      </c>
      <c r="E17" s="21" t="n">
        <v>607</v>
      </c>
      <c r="F17" s="96" t="s">
        <v>69</v>
      </c>
      <c r="I17" s="42" t="n">
        <v>620</v>
      </c>
      <c r="J17" s="42" t="s">
        <v>48</v>
      </c>
      <c r="K17" s="42" t="n">
        <v>2.67</v>
      </c>
      <c r="O17" s="1" t="s">
        <v>78</v>
      </c>
      <c r="P17" s="1" t="n">
        <v>620</v>
      </c>
      <c r="Q17" s="1" t="s">
        <v>48</v>
      </c>
      <c r="R17" s="1" t="n">
        <v>2.68</v>
      </c>
    </row>
    <row outlineLevel="0" r="18">
      <c r="A18" s="96" t="s">
        <v>79</v>
      </c>
      <c r="B18" s="21" t="n">
        <v>600</v>
      </c>
      <c r="C18" s="21" t="s">
        <v>51</v>
      </c>
      <c r="D18" s="154" t="n">
        <f aca="false" ca="false" dt2D="false" dtr="false" t="normal">' РАСЧЕТЫ по ГРБС 2022'!F35</f>
        <v>3.32</v>
      </c>
      <c r="E18" s="21" t="n">
        <v>600</v>
      </c>
      <c r="F18" s="96" t="s">
        <v>76</v>
      </c>
      <c r="I18" s="42" t="n">
        <v>618</v>
      </c>
      <c r="J18" s="42" t="s">
        <v>38</v>
      </c>
      <c r="K18" s="42" t="n">
        <v>3.3</v>
      </c>
      <c r="O18" s="1" t="s">
        <v>76</v>
      </c>
      <c r="P18" s="1" t="n">
        <v>624</v>
      </c>
      <c r="Q18" s="1" t="s">
        <v>40</v>
      </c>
      <c r="R18" s="1" t="n">
        <v>3.18</v>
      </c>
    </row>
    <row outlineLevel="0" r="19">
      <c r="A19" s="96" t="s">
        <v>81</v>
      </c>
      <c r="B19" s="21" t="n">
        <v>643</v>
      </c>
      <c r="C19" s="21" t="s">
        <v>52</v>
      </c>
      <c r="D19" s="154" t="n">
        <f aca="false" ca="false" dt2D="false" dtr="false" t="normal">' РАСЧЕТЫ по ГРБС 2022'!CC35</f>
        <v>3.22</v>
      </c>
      <c r="E19" s="58" t="n">
        <v>643</v>
      </c>
      <c r="F19" s="96" t="s">
        <v>74</v>
      </c>
      <c r="I19" s="42" t="n">
        <v>602</v>
      </c>
      <c r="J19" s="42" t="s">
        <v>53</v>
      </c>
      <c r="K19" s="42" t="n">
        <v>1.93</v>
      </c>
      <c r="O19" s="1" t="s">
        <v>67</v>
      </c>
      <c r="P19" s="1" t="n">
        <v>604</v>
      </c>
      <c r="Q19" s="1" t="s">
        <v>49</v>
      </c>
      <c r="R19" s="1" t="n">
        <v>4.3</v>
      </c>
    </row>
    <row ht="30" outlineLevel="0" r="20">
      <c r="A20" s="156" t="s">
        <v>82</v>
      </c>
      <c r="B20" s="21" t="n">
        <v>602</v>
      </c>
      <c r="C20" s="21" t="s">
        <v>53</v>
      </c>
      <c r="D20" s="154" t="n">
        <f aca="false" ca="false" dt2D="false" dtr="false" t="normal">' РАСЧЕТЫ по ГРБС 2022'!P35</f>
        <v>3.0500000000000003</v>
      </c>
      <c r="E20" s="21" t="n">
        <v>602</v>
      </c>
      <c r="F20" s="156" t="s">
        <v>82</v>
      </c>
      <c r="I20" s="42" t="n">
        <v>624</v>
      </c>
      <c r="J20" s="42" t="s">
        <v>40</v>
      </c>
      <c r="K20" s="42" t="n">
        <v>3.17</v>
      </c>
      <c r="O20" s="1" t="s">
        <v>81</v>
      </c>
      <c r="P20" s="1" t="n">
        <v>602</v>
      </c>
      <c r="Q20" s="1" t="s">
        <v>53</v>
      </c>
      <c r="R20" s="1" t="n">
        <v>2.6</v>
      </c>
    </row>
    <row ht="30" outlineLevel="0" r="21">
      <c r="A21" s="96" t="s">
        <v>83</v>
      </c>
      <c r="B21" s="21" t="n">
        <v>621</v>
      </c>
      <c r="C21" s="21" t="s">
        <v>54</v>
      </c>
      <c r="D21" s="154" t="n">
        <f aca="false" ca="false" dt2D="false" dtr="false" t="normal">' РАСЧЕТЫ по ГРБС 2022'!BS35</f>
        <v>2.17</v>
      </c>
      <c r="E21" s="21" t="n">
        <v>621</v>
      </c>
      <c r="F21" s="96" t="s">
        <v>83</v>
      </c>
      <c r="I21" s="42" t="n">
        <v>619</v>
      </c>
      <c r="J21" s="42" t="s">
        <v>44</v>
      </c>
      <c r="K21" s="42" t="n">
        <v>3.24</v>
      </c>
      <c r="O21" s="1" t="s">
        <v>77</v>
      </c>
      <c r="P21" s="1" t="n">
        <v>621</v>
      </c>
      <c r="Q21" s="1" t="s">
        <v>54</v>
      </c>
      <c r="R21" s="1" t="n">
        <v>2.83</v>
      </c>
    </row>
    <row outlineLevel="0" r="24">
      <c r="C24" s="57" t="s">
        <v>23</v>
      </c>
      <c r="D24" s="3" t="n">
        <f aca="false" ca="true" dt2D="false" dtr="false" t="normal">SUBTOTAL(9, D6:D23)</f>
        <v>56.83999999999999</v>
      </c>
    </row>
    <row outlineLevel="0" r="25">
      <c r="C25" s="60" t="s">
        <v>24</v>
      </c>
      <c r="D25" s="158" t="n">
        <f aca="false" ca="false" dt2D="false" dtr="false" t="normal">ROUND(D24/16, 2)</f>
        <v>3.55</v>
      </c>
    </row>
    <row hidden="true" ht="15.75" outlineLevel="0" r="27">
      <c r="C27" s="62" t="s">
        <v>25</v>
      </c>
      <c r="D27" s="62" t="n"/>
    </row>
    <row hidden="true" ht="15.75" outlineLevel="0" r="28">
      <c r="C28" s="62" t="s">
        <v>26</v>
      </c>
      <c r="D28" s="62" t="n"/>
    </row>
    <row hidden="true" ht="15.75" outlineLevel="0" r="29">
      <c r="C29" s="62" t="s">
        <v>27</v>
      </c>
      <c r="D29" s="62" t="n"/>
    </row>
    <row hidden="true" ht="15.75" outlineLevel="0" r="30">
      <c r="C30" s="62" t="s">
        <v>28</v>
      </c>
      <c r="D30" s="62" t="n"/>
    </row>
    <row hidden="true" ht="15" outlineLevel="0" r="31"/>
  </sheetData>
  <mergeCells count="2">
    <mergeCell ref="A2:D2"/>
    <mergeCell ref="A3:D3"/>
  </mergeCells>
  <pageMargins bottom="0.196850389242172" footer="0.15748031437397" header="0.15748031437397" left="0.969999969005585" right="0.196850389242172" top="0.354330688714981"/>
  <pageSetup fitToHeight="1" fitToWidth="1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CC38"/>
  <sheetViews>
    <sheetView showZeros="true" workbookViewId="0">
      <pane activePane="bottomRight" state="frozen" topLeftCell="B3" xSplit="1" ySplit="2"/>
    </sheetView>
  </sheetViews>
  <sheetFormatPr baseColWidth="8" customHeight="false" defaultColWidth="9.14062530925693" defaultRowHeight="15" zeroHeight="false"/>
  <cols>
    <col customWidth="true" max="1" min="1" outlineLevel="0" style="159" width="60.1406237867613"/>
    <col customWidth="true" max="3" min="2" outlineLevel="0" style="160" width="13.0000001691662"/>
    <col bestFit="true" customWidth="true" max="4" min="4" outlineLevel="0" style="161" width="11.9999993233353"/>
    <col customWidth="true" max="5" min="5" outlineLevel="0" style="161" width="12.5703126546285"/>
    <col customWidth="true" max="6" min="6" outlineLevel="0" style="161" width="13.0000001691662"/>
    <col customWidth="true" max="8" min="7" outlineLevel="0" style="160" width="13.0000001691662"/>
    <col bestFit="true" customWidth="true" max="9" min="9" outlineLevel="0" style="161" width="11.9999993233353"/>
    <col customWidth="true" max="10" min="10" outlineLevel="0" style="161" width="12.5703126546285"/>
    <col customWidth="true" max="11" min="11" outlineLevel="0" style="161" width="13.0000001691662"/>
    <col customWidth="true" max="12" min="12" outlineLevel="0" style="161" width="13.7109379638854"/>
    <col customWidth="true" max="13" min="13" outlineLevel="0" style="161" width="11.4257816365712"/>
    <col customWidth="true" max="14" min="14" outlineLevel="0" style="161" width="11.2851564964804"/>
    <col customWidth="true" max="15" min="15" outlineLevel="0" style="161" width="10.9999998308338"/>
    <col customWidth="true" max="16" min="16" outlineLevel="0" style="161" width="10.2851563273142"/>
    <col customWidth="true" max="17" min="17" outlineLevel="0" style="161" width="13.7109379638854"/>
    <col customWidth="true" max="18" min="18" outlineLevel="0" style="161" width="11.4257816365712"/>
    <col customWidth="true" max="19" min="19" outlineLevel="0" style="161" width="11.2851564964804"/>
    <col customWidth="true" max="20" min="20" outlineLevel="0" style="161" width="10.9999998308338"/>
    <col customWidth="true" max="21" min="21" outlineLevel="0" style="161" width="10.2851563273142"/>
    <col customWidth="true" max="22" min="22" outlineLevel="0" style="161" width="13.7109379638854"/>
    <col customWidth="true" max="23" min="23" outlineLevel="0" style="161" width="11.4257816365712"/>
    <col customWidth="true" max="24" min="24" outlineLevel="0" style="161" width="11.2851564964804"/>
    <col customWidth="true" max="25" min="25" outlineLevel="0" style="161" width="10.9999998308338"/>
    <col customWidth="true" max="26" min="26" outlineLevel="0" style="161" width="10.2851563273142"/>
    <col customWidth="true" max="27" min="27" outlineLevel="0" style="161" width="13.7109379638854"/>
    <col customWidth="true" max="28" min="28" outlineLevel="0" style="161" width="11.4257816365712"/>
    <col customWidth="true" max="29" min="29" outlineLevel="0" style="161" width="11.2851564964804"/>
    <col customWidth="true" max="30" min="30" outlineLevel="0" style="161" width="10.9999998308338"/>
    <col customWidth="true" max="31" min="31" outlineLevel="0" style="161" width="10.2851563273142"/>
    <col customWidth="true" max="32" min="32" outlineLevel="0" style="161" width="13.7109379638854"/>
    <col customWidth="true" max="33" min="33" outlineLevel="0" style="161" width="11.4257816365712"/>
    <col customWidth="true" max="34" min="34" outlineLevel="0" style="161" width="11.2851564964804"/>
    <col customWidth="true" max="35" min="35" outlineLevel="0" style="161" width="12.1406251400907"/>
    <col customWidth="true" max="36" min="36" outlineLevel="0" style="161" width="10.2851563273142"/>
    <col customWidth="true" max="37" min="37" outlineLevel="0" style="161" width="13.7109379638854"/>
    <col customWidth="true" max="38" min="38" outlineLevel="0" style="161" width="11.4257816365712"/>
    <col customWidth="true" max="39" min="39" outlineLevel="0" style="161" width="11.2851564964804"/>
    <col customWidth="true" max="40" min="40" outlineLevel="0" style="161" width="10.9999998308338"/>
    <col customWidth="true" max="41" min="41" outlineLevel="0" style="161" width="10.2851563273142"/>
    <col customWidth="true" max="42" min="42" outlineLevel="0" style="161" width="13.7109379638854"/>
    <col customWidth="true" max="43" min="43" outlineLevel="0" style="161" width="11.4257816365712"/>
    <col customWidth="true" max="44" min="44" outlineLevel="0" style="161" width="11.2851564964804"/>
    <col customWidth="true" max="45" min="45" outlineLevel="0" style="161" width="10.9999998308338"/>
    <col customWidth="true" max="46" min="46" outlineLevel="0" style="161" width="10.2851563273142"/>
    <col customWidth="true" max="47" min="47" outlineLevel="0" style="161" width="13.7109379638854"/>
    <col customWidth="true" max="48" min="48" outlineLevel="0" style="161" width="11.4257816365712"/>
    <col customWidth="true" max="49" min="49" outlineLevel="0" style="161" width="11.2851564964804"/>
    <col customWidth="true" max="50" min="50" outlineLevel="0" style="161" width="10.9999998308338"/>
    <col customWidth="true" max="51" min="51" outlineLevel="0" style="161" width="10.2851563273142"/>
    <col customWidth="true" max="52" min="52" outlineLevel="0" style="161" width="13.7109379638854"/>
    <col customWidth="true" max="53" min="53" outlineLevel="0" style="161" width="11.4257816365712"/>
    <col customWidth="true" max="54" min="54" outlineLevel="0" style="161" width="11.2851564964804"/>
    <col customWidth="true" max="55" min="55" outlineLevel="0" style="161" width="10.9999998308338"/>
    <col customWidth="true" max="56" min="56" outlineLevel="0" style="161" width="10.2851563273142"/>
    <col customWidth="true" max="57" min="57" outlineLevel="0" style="161" width="13.7109379638854"/>
    <col customWidth="true" max="58" min="58" outlineLevel="0" style="161" width="11.4257816365712"/>
    <col customWidth="true" max="59" min="59" outlineLevel="0" style="161" width="11.2851564964804"/>
    <col customWidth="true" max="60" min="60" outlineLevel="0" style="161" width="10.9999998308338"/>
    <col customWidth="true" max="61" min="61" outlineLevel="0" style="161" width="10.2851563273142"/>
    <col customWidth="true" max="62" min="62" outlineLevel="0" style="161" width="13.7109379638854"/>
    <col customWidth="true" max="63" min="63" outlineLevel="0" style="161" width="11.4257816365712"/>
    <col customWidth="true" max="64" min="64" outlineLevel="0" style="161" width="11.2851564964804"/>
    <col customWidth="true" max="65" min="65" outlineLevel="0" style="161" width="10.9999998308338"/>
    <col customWidth="true" max="66" min="66" outlineLevel="0" style="161" width="10.2851563273142"/>
    <col customWidth="true" max="67" min="67" outlineLevel="0" style="161" width="13.7109379638854"/>
    <col customWidth="true" max="68" min="68" outlineLevel="0" style="161" width="11.4257816365712"/>
    <col customWidth="true" max="69" min="69" outlineLevel="0" style="161" width="11.2851564964804"/>
    <col customWidth="true" max="70" min="70" outlineLevel="0" style="161" width="10.9999998308338"/>
    <col customWidth="true" max="71" min="71" outlineLevel="0" style="161" width="10.2851563273142"/>
    <col customWidth="true" max="72" min="72" outlineLevel="0" style="161" width="13.7109379638854"/>
    <col customWidth="true" max="73" min="73" outlineLevel="0" style="161" width="11.4257816365712"/>
    <col customWidth="true" max="74" min="74" outlineLevel="0" style="161" width="11.2851564964804"/>
    <col customWidth="true" max="75" min="75" outlineLevel="0" style="161" width="10.9999998308338"/>
    <col customWidth="true" max="76" min="76" outlineLevel="0" style="161" width="10.2851563273142"/>
    <col customWidth="true" max="77" min="77" outlineLevel="0" style="161" width="13.7109379638854"/>
    <col customWidth="true" max="78" min="78" outlineLevel="0" style="161" width="11.4257816365712"/>
    <col customWidth="true" max="79" min="79" outlineLevel="0" style="161" width="11.2851564964804"/>
    <col customWidth="true" max="80" min="80" outlineLevel="0" style="161" width="10.9999998308338"/>
    <col customWidth="true" max="81" min="81" outlineLevel="0" style="161" width="10.2851563273142"/>
    <col bestFit="true" customWidth="true" max="16384" min="82" outlineLevel="0" style="161" width="9.14062530925693"/>
  </cols>
  <sheetData>
    <row customHeight="true" ht="14.4499998092651" outlineLevel="0" r="2">
      <c r="A2" s="162" t="s">
        <v>35</v>
      </c>
      <c r="B2" s="163" t="n">
        <v>600</v>
      </c>
      <c r="C2" s="164" t="s"/>
      <c r="D2" s="164" t="s"/>
      <c r="E2" s="164" t="s"/>
      <c r="F2" s="165" t="s"/>
      <c r="G2" s="163" t="n">
        <v>601</v>
      </c>
      <c r="H2" s="164" t="s"/>
      <c r="I2" s="164" t="s"/>
      <c r="J2" s="164" t="s"/>
      <c r="K2" s="165" t="s"/>
      <c r="L2" s="163" t="n">
        <v>602</v>
      </c>
      <c r="M2" s="164" t="s"/>
      <c r="N2" s="164" t="s"/>
      <c r="O2" s="164" t="s"/>
      <c r="P2" s="165" t="s"/>
      <c r="Q2" s="163" t="n">
        <v>604</v>
      </c>
      <c r="R2" s="164" t="s"/>
      <c r="S2" s="164" t="s"/>
      <c r="T2" s="164" t="s"/>
      <c r="U2" s="165" t="s"/>
      <c r="V2" s="163" t="n">
        <v>605</v>
      </c>
      <c r="W2" s="164" t="s"/>
      <c r="X2" s="164" t="s"/>
      <c r="Y2" s="164" t="s"/>
      <c r="Z2" s="165" t="s"/>
      <c r="AA2" s="163" t="n">
        <v>606</v>
      </c>
      <c r="AB2" s="164" t="s"/>
      <c r="AC2" s="164" t="s"/>
      <c r="AD2" s="164" t="s"/>
      <c r="AE2" s="165" t="s"/>
      <c r="AF2" s="163" t="n">
        <v>607</v>
      </c>
      <c r="AG2" s="164" t="s"/>
      <c r="AH2" s="164" t="s"/>
      <c r="AI2" s="164" t="s"/>
      <c r="AJ2" s="165" t="s"/>
      <c r="AK2" s="163" t="n">
        <v>609</v>
      </c>
      <c r="AL2" s="164" t="s"/>
      <c r="AM2" s="164" t="s"/>
      <c r="AN2" s="164" t="s"/>
      <c r="AO2" s="165" t="s"/>
      <c r="AP2" s="163" t="n">
        <v>611</v>
      </c>
      <c r="AQ2" s="164" t="s"/>
      <c r="AR2" s="164" t="s"/>
      <c r="AS2" s="164" t="s"/>
      <c r="AT2" s="165" t="s"/>
      <c r="AU2" s="163" t="n">
        <v>617</v>
      </c>
      <c r="AV2" s="164" t="s"/>
      <c r="AW2" s="164" t="s"/>
      <c r="AX2" s="164" t="s"/>
      <c r="AY2" s="165" t="s"/>
      <c r="AZ2" s="163" t="n">
        <v>618</v>
      </c>
      <c r="BA2" s="164" t="s"/>
      <c r="BB2" s="164" t="s"/>
      <c r="BC2" s="164" t="s"/>
      <c r="BD2" s="165" t="s"/>
      <c r="BE2" s="163" t="n">
        <v>619</v>
      </c>
      <c r="BF2" s="164" t="s"/>
      <c r="BG2" s="164" t="s"/>
      <c r="BH2" s="164" t="s"/>
      <c r="BI2" s="165" t="s"/>
      <c r="BJ2" s="163" t="n">
        <v>620</v>
      </c>
      <c r="BK2" s="164" t="s"/>
      <c r="BL2" s="164" t="s"/>
      <c r="BM2" s="164" t="s"/>
      <c r="BN2" s="165" t="s"/>
      <c r="BO2" s="163" t="n">
        <v>621</v>
      </c>
      <c r="BP2" s="164" t="s"/>
      <c r="BQ2" s="164" t="s"/>
      <c r="BR2" s="164" t="s"/>
      <c r="BS2" s="165" t="s"/>
      <c r="BT2" s="163" t="n">
        <v>624</v>
      </c>
      <c r="BU2" s="164" t="s"/>
      <c r="BV2" s="164" t="s"/>
      <c r="BW2" s="164" t="s"/>
      <c r="BX2" s="165" t="s"/>
      <c r="BY2" s="163" t="n">
        <v>643</v>
      </c>
      <c r="BZ2" s="164" t="s"/>
      <c r="CA2" s="164" t="s"/>
      <c r="CB2" s="164" t="s"/>
      <c r="CC2" s="165" t="s"/>
    </row>
    <row customFormat="true" ht="76.5" outlineLevel="0" r="3" s="166">
      <c r="A3" s="167" t="s">
        <v>96</v>
      </c>
      <c r="B3" s="168" t="s">
        <v>97</v>
      </c>
      <c r="C3" s="169" t="s">
        <v>98</v>
      </c>
      <c r="D3" s="170" t="s">
        <v>99</v>
      </c>
      <c r="E3" s="170" t="s">
        <v>100</v>
      </c>
      <c r="F3" s="171" t="s">
        <v>101</v>
      </c>
      <c r="G3" s="168" t="s">
        <v>97</v>
      </c>
      <c r="H3" s="169" t="s">
        <v>98</v>
      </c>
      <c r="I3" s="170" t="s">
        <v>99</v>
      </c>
      <c r="J3" s="170" t="s">
        <v>100</v>
      </c>
      <c r="K3" s="171" t="s">
        <v>101</v>
      </c>
      <c r="L3" s="168" t="s">
        <v>97</v>
      </c>
      <c r="M3" s="169" t="s">
        <v>98</v>
      </c>
      <c r="N3" s="170" t="s">
        <v>99</v>
      </c>
      <c r="O3" s="170" t="s">
        <v>100</v>
      </c>
      <c r="P3" s="171" t="s">
        <v>101</v>
      </c>
      <c r="Q3" s="172" t="s">
        <v>97</v>
      </c>
      <c r="R3" s="169" t="s">
        <v>98</v>
      </c>
      <c r="S3" s="170" t="s">
        <v>99</v>
      </c>
      <c r="T3" s="170" t="s">
        <v>100</v>
      </c>
      <c r="U3" s="171" t="s">
        <v>101</v>
      </c>
      <c r="V3" s="168" t="s">
        <v>97</v>
      </c>
      <c r="W3" s="169" t="s">
        <v>98</v>
      </c>
      <c r="X3" s="170" t="s">
        <v>99</v>
      </c>
      <c r="Y3" s="170" t="s">
        <v>100</v>
      </c>
      <c r="Z3" s="171" t="s">
        <v>101</v>
      </c>
      <c r="AA3" s="168" t="s">
        <v>97</v>
      </c>
      <c r="AB3" s="169" t="s">
        <v>98</v>
      </c>
      <c r="AC3" s="170" t="s">
        <v>99</v>
      </c>
      <c r="AD3" s="170" t="s">
        <v>100</v>
      </c>
      <c r="AE3" s="171" t="s">
        <v>101</v>
      </c>
      <c r="AF3" s="168" t="s">
        <v>97</v>
      </c>
      <c r="AG3" s="169" t="s">
        <v>98</v>
      </c>
      <c r="AH3" s="170" t="s">
        <v>99</v>
      </c>
      <c r="AI3" s="170" t="s">
        <v>100</v>
      </c>
      <c r="AJ3" s="171" t="s">
        <v>101</v>
      </c>
      <c r="AK3" s="168" t="s">
        <v>97</v>
      </c>
      <c r="AL3" s="169" t="s">
        <v>98</v>
      </c>
      <c r="AM3" s="170" t="s">
        <v>99</v>
      </c>
      <c r="AN3" s="170" t="s">
        <v>100</v>
      </c>
      <c r="AO3" s="171" t="s">
        <v>101</v>
      </c>
      <c r="AP3" s="168" t="s">
        <v>97</v>
      </c>
      <c r="AQ3" s="169" t="s">
        <v>98</v>
      </c>
      <c r="AR3" s="170" t="s">
        <v>99</v>
      </c>
      <c r="AS3" s="170" t="s">
        <v>100</v>
      </c>
      <c r="AT3" s="171" t="s">
        <v>101</v>
      </c>
      <c r="AU3" s="168" t="s">
        <v>97</v>
      </c>
      <c r="AV3" s="169" t="s">
        <v>98</v>
      </c>
      <c r="AW3" s="170" t="s">
        <v>99</v>
      </c>
      <c r="AX3" s="170" t="s">
        <v>100</v>
      </c>
      <c r="AY3" s="171" t="s">
        <v>101</v>
      </c>
      <c r="AZ3" s="168" t="s">
        <v>97</v>
      </c>
      <c r="BA3" s="169" t="s">
        <v>98</v>
      </c>
      <c r="BB3" s="170" t="s">
        <v>99</v>
      </c>
      <c r="BC3" s="170" t="s">
        <v>100</v>
      </c>
      <c r="BD3" s="171" t="s">
        <v>101</v>
      </c>
      <c r="BE3" s="168" t="s">
        <v>97</v>
      </c>
      <c r="BF3" s="169" t="s">
        <v>98</v>
      </c>
      <c r="BG3" s="170" t="s">
        <v>99</v>
      </c>
      <c r="BH3" s="170" t="s">
        <v>100</v>
      </c>
      <c r="BI3" s="171" t="s">
        <v>101</v>
      </c>
      <c r="BJ3" s="168" t="s">
        <v>97</v>
      </c>
      <c r="BK3" s="169" t="s">
        <v>98</v>
      </c>
      <c r="BL3" s="170" t="s">
        <v>99</v>
      </c>
      <c r="BM3" s="170" t="s">
        <v>100</v>
      </c>
      <c r="BN3" s="171" t="s">
        <v>101</v>
      </c>
      <c r="BO3" s="168" t="s">
        <v>97</v>
      </c>
      <c r="BP3" s="169" t="s">
        <v>98</v>
      </c>
      <c r="BQ3" s="170" t="s">
        <v>99</v>
      </c>
      <c r="BR3" s="170" t="s">
        <v>100</v>
      </c>
      <c r="BS3" s="171" t="s">
        <v>101</v>
      </c>
      <c r="BT3" s="168" t="s">
        <v>97</v>
      </c>
      <c r="BU3" s="169" t="s">
        <v>98</v>
      </c>
      <c r="BV3" s="170" t="s">
        <v>99</v>
      </c>
      <c r="BW3" s="170" t="s">
        <v>100</v>
      </c>
      <c r="BX3" s="171" t="s">
        <v>101</v>
      </c>
      <c r="BY3" s="168" t="s">
        <v>97</v>
      </c>
      <c r="BZ3" s="169" t="s">
        <v>98</v>
      </c>
      <c r="CA3" s="170" t="s">
        <v>99</v>
      </c>
      <c r="CB3" s="170" t="s">
        <v>100</v>
      </c>
      <c r="CC3" s="171" t="s">
        <v>101</v>
      </c>
    </row>
    <row customFormat="true" ht="14.25" outlineLevel="0" r="4" s="173">
      <c r="A4" s="174" t="s">
        <v>102</v>
      </c>
      <c r="B4" s="175" t="n">
        <v>0.2</v>
      </c>
      <c r="C4" s="175" t="n">
        <f aca="false" ca="false" dt2D="false" dtr="false" t="normal">ROUND(B4*100%/70%, 5)</f>
        <v>0.28571</v>
      </c>
      <c r="D4" s="176" t="n"/>
      <c r="E4" s="176" t="n">
        <f aca="false" ca="false" dt2D="false" dtr="false" t="normal">SUM(E5:E9)</f>
        <v>3</v>
      </c>
      <c r="F4" s="177" t="n">
        <f aca="false" ca="false" dt2D="false" dtr="false" t="normal">ROUND(E4*C4, 2)</f>
        <v>0.86</v>
      </c>
      <c r="G4" s="175" t="n">
        <v>0.2</v>
      </c>
      <c r="H4" s="175" t="n">
        <v>0.2</v>
      </c>
      <c r="I4" s="176" t="n"/>
      <c r="J4" s="176" t="n">
        <f aca="false" ca="false" dt2D="false" dtr="false" t="normal">SUM(J5:J9)</f>
        <v>3.2</v>
      </c>
      <c r="K4" s="177" t="n">
        <f aca="false" ca="false" dt2D="false" dtr="false" t="normal">ROUND(J4*H4, 2)</f>
        <v>0.64</v>
      </c>
      <c r="L4" s="175" t="n">
        <v>0.2</v>
      </c>
      <c r="M4" s="175" t="n">
        <f aca="false" ca="false" dt2D="false" dtr="false" t="normal">ROUND(L4*100%/70%, 5)</f>
        <v>0.28571</v>
      </c>
      <c r="N4" s="176" t="n"/>
      <c r="O4" s="176" t="n">
        <f aca="false" ca="false" dt2D="false" dtr="false" t="normal">SUM(O5:O9)</f>
        <v>2.6</v>
      </c>
      <c r="P4" s="177" t="n">
        <f aca="false" ca="false" dt2D="false" dtr="false" t="normal">ROUND(O4*M4, 2)</f>
        <v>0.74</v>
      </c>
      <c r="Q4" s="175" t="n">
        <v>0.2</v>
      </c>
      <c r="R4" s="175" t="n">
        <f aca="false" ca="false" dt2D="false" dtr="false" t="normal">ROUND(Q4*100%/70%, 5)</f>
        <v>0.28571</v>
      </c>
      <c r="S4" s="176" t="n"/>
      <c r="T4" s="176" t="n">
        <f aca="false" ca="false" dt2D="false" dtr="false" t="normal">SUM(T5:T9)</f>
        <v>1.8</v>
      </c>
      <c r="U4" s="177" t="n">
        <f aca="false" ca="false" dt2D="false" dtr="false" t="normal">ROUND(T4*R4, 2)</f>
        <v>0.51</v>
      </c>
      <c r="V4" s="175" t="n">
        <v>0.2</v>
      </c>
      <c r="W4" s="175" t="n">
        <f aca="false" ca="false" dt2D="false" dtr="false" t="normal">ROUND(V4*100%/70%, 5)</f>
        <v>0.28571</v>
      </c>
      <c r="X4" s="176" t="n"/>
      <c r="Y4" s="176" t="n">
        <f aca="false" ca="false" dt2D="false" dtr="false" t="normal">SUM(Y5:Y9)</f>
        <v>3</v>
      </c>
      <c r="Z4" s="177" t="n">
        <f aca="false" ca="false" dt2D="false" dtr="false" t="normal">ROUND(Y4*W4, 2)</f>
        <v>0.86</v>
      </c>
      <c r="AA4" s="175" t="n">
        <v>0.2</v>
      </c>
      <c r="AB4" s="175" t="n">
        <f aca="false" ca="false" dt2D="false" dtr="false" t="normal">ROUND(AA4*100%/80%, 5)</f>
        <v>0.25</v>
      </c>
      <c r="AC4" s="176" t="n"/>
      <c r="AD4" s="176" t="n">
        <f aca="false" ca="false" dt2D="false" dtr="false" t="normal">SUM(AD5:AD9)</f>
        <v>3.4000000000000004</v>
      </c>
      <c r="AE4" s="177" t="n">
        <f aca="false" ca="false" dt2D="false" dtr="false" t="normal">ROUND(AD4*AB4, 2)</f>
        <v>0.85</v>
      </c>
      <c r="AF4" s="175" t="n">
        <v>0.2</v>
      </c>
      <c r="AG4" s="175" t="n">
        <f aca="false" ca="false" dt2D="false" dtr="false" t="normal">ROUND(AF4*100%/80%, 5)</f>
        <v>0.25</v>
      </c>
      <c r="AH4" s="176" t="n"/>
      <c r="AI4" s="176" t="n">
        <f aca="false" ca="false" dt2D="false" dtr="false" t="normal">SUM(AI5:AI9)</f>
        <v>3.2</v>
      </c>
      <c r="AJ4" s="177" t="n">
        <f aca="false" ca="false" dt2D="false" dtr="false" t="normal">ROUND(AI4*AG4, 2)</f>
        <v>0.8</v>
      </c>
      <c r="AK4" s="175" t="n">
        <v>0.2</v>
      </c>
      <c r="AL4" s="175" t="n">
        <f aca="false" ca="false" dt2D="false" dtr="false" t="normal">ROUND(AK4*100%/90%, 5)</f>
        <v>0.22222</v>
      </c>
      <c r="AM4" s="176" t="n"/>
      <c r="AN4" s="176" t="n">
        <f aca="false" ca="false" dt2D="false" dtr="false" t="normal">SUM(AN5:AN9)</f>
        <v>4</v>
      </c>
      <c r="AO4" s="177" t="n">
        <f aca="false" ca="false" dt2D="false" dtr="false" t="normal">ROUND(AN4*AL4, 2)</f>
        <v>0.89</v>
      </c>
      <c r="AP4" s="175" t="n">
        <v>0.2</v>
      </c>
      <c r="AQ4" s="175" t="n">
        <f aca="false" ca="false" dt2D="false" dtr="false" t="normal">ROUND(AP4*100%/80%, 5)</f>
        <v>0.25</v>
      </c>
      <c r="AR4" s="176" t="n"/>
      <c r="AS4" s="176" t="n">
        <f aca="false" ca="false" dt2D="false" dtr="false" t="normal">SUM(AS5:AS9)</f>
        <v>2.8000000000000003</v>
      </c>
      <c r="AT4" s="177" t="n">
        <f aca="false" ca="false" dt2D="false" dtr="false" t="normal">ROUND(AS4*AQ4, 2)</f>
        <v>0.7</v>
      </c>
      <c r="AU4" s="175" t="n">
        <v>0.2</v>
      </c>
      <c r="AV4" s="175" t="n">
        <f aca="false" ca="false" dt2D="false" dtr="false" t="normal">ROUND(AU4*100%/70%, 5)</f>
        <v>0.28571</v>
      </c>
      <c r="AW4" s="176" t="n"/>
      <c r="AX4" s="176" t="n">
        <f aca="false" ca="false" dt2D="false" dtr="false" t="normal">SUM(AX5:AX9)</f>
        <v>2.4</v>
      </c>
      <c r="AY4" s="177" t="n">
        <f aca="false" ca="false" dt2D="false" dtr="false" t="normal">ROUND(AX4*AV4, 2)</f>
        <v>0.69</v>
      </c>
      <c r="AZ4" s="175" t="n">
        <v>0.2</v>
      </c>
      <c r="BA4" s="175" t="n">
        <f aca="false" ca="false" dt2D="false" dtr="false" t="normal">ROUND(AZ4*100%/70%, 5)</f>
        <v>0.28571</v>
      </c>
      <c r="BB4" s="176" t="n"/>
      <c r="BC4" s="176" t="n">
        <f aca="false" ca="false" dt2D="false" dtr="false" t="normal">SUM(BC5:BC9)</f>
        <v>3.8</v>
      </c>
      <c r="BD4" s="177" t="n">
        <f aca="false" ca="false" dt2D="false" dtr="false" t="normal">ROUND(BC4*BA4, 2)</f>
        <v>1.09</v>
      </c>
      <c r="BE4" s="175" t="n">
        <v>0.2</v>
      </c>
      <c r="BF4" s="175" t="n">
        <f aca="false" ca="false" dt2D="false" dtr="false" t="normal">ROUND(BE4*100%/70%, 5)</f>
        <v>0.28571</v>
      </c>
      <c r="BG4" s="176" t="n"/>
      <c r="BH4" s="176" t="n">
        <f aca="false" ca="false" dt2D="false" dtr="false" t="normal">SUM(BH5:BH9)</f>
        <v>3.4</v>
      </c>
      <c r="BI4" s="177" t="n">
        <f aca="false" ca="false" dt2D="false" dtr="false" t="normal">ROUND(BH4*BF4, 2)</f>
        <v>0.97</v>
      </c>
      <c r="BJ4" s="175" t="n">
        <v>0.2</v>
      </c>
      <c r="BK4" s="175" t="n">
        <v>0.2</v>
      </c>
      <c r="BL4" s="176" t="n"/>
      <c r="BM4" s="176" t="n">
        <f aca="false" ca="false" dt2D="false" dtr="false" t="normal">SUM(BM5:BM9)</f>
        <v>3.1999999999999997</v>
      </c>
      <c r="BN4" s="177" t="n">
        <f aca="false" ca="false" dt2D="false" dtr="false" t="normal">ROUND(BM4*BK4, 2)</f>
        <v>0.64</v>
      </c>
      <c r="BO4" s="175" t="n">
        <v>0.2</v>
      </c>
      <c r="BP4" s="175" t="n">
        <f aca="false" ca="false" dt2D="false" dtr="false" t="normal">ROUND(BO4*100%/90%, 5)</f>
        <v>0.22222</v>
      </c>
      <c r="BQ4" s="176" t="n"/>
      <c r="BR4" s="176" t="n">
        <f aca="false" ca="false" dt2D="false" dtr="false" t="normal">SUM(BR5:BR9)</f>
        <v>2.6</v>
      </c>
      <c r="BS4" s="177" t="n">
        <f aca="false" ca="false" dt2D="false" dtr="false" t="normal">ROUND(BR4*BP4, 2)</f>
        <v>0.58</v>
      </c>
      <c r="BT4" s="175" t="n">
        <v>0.2</v>
      </c>
      <c r="BU4" s="175" t="n">
        <f aca="false" ca="false" dt2D="false" dtr="false" t="normal">BT4</f>
        <v>0.2</v>
      </c>
      <c r="BV4" s="176" t="n"/>
      <c r="BW4" s="176" t="n">
        <f aca="false" ca="false" dt2D="false" dtr="false" t="normal">SUM(BW5:BW9)</f>
        <v>2.6</v>
      </c>
      <c r="BX4" s="177" t="n">
        <f aca="false" ca="false" dt2D="false" dtr="false" t="normal">ROUND(BW4*BU4, 2)</f>
        <v>0.52</v>
      </c>
      <c r="BY4" s="175" t="n">
        <v>0.2</v>
      </c>
      <c r="BZ4" s="175" t="n">
        <f aca="false" ca="false" dt2D="false" dtr="false" t="normal">ROUND(BY4*100%/70%, 5)</f>
        <v>0.28571</v>
      </c>
      <c r="CA4" s="176" t="n"/>
      <c r="CB4" s="176" t="n">
        <f aca="false" ca="false" dt2D="false" dtr="false" t="normal">SUM(CB5:CB9)</f>
        <v>3.25</v>
      </c>
      <c r="CC4" s="177" t="n">
        <f aca="false" ca="false" dt2D="false" dtr="false" t="normal">ROUND(CB4*BZ4, 2)</f>
        <v>0.93</v>
      </c>
    </row>
    <row customFormat="true" ht="30" outlineLevel="0" r="5" s="178">
      <c r="A5" s="179" t="s">
        <v>103</v>
      </c>
      <c r="B5" s="180" t="n">
        <v>0.2</v>
      </c>
      <c r="C5" s="180" t="n">
        <f aca="false" ca="false" dt2D="false" dtr="false" t="normal">ROUND(B5*100%/80%, 5)</f>
        <v>0.25</v>
      </c>
      <c r="D5" s="181" t="n">
        <f aca="false" ca="false" dt2D="false" dtr="false" t="normal">VLOOKUP($B2, '1.1. част изм'!$A$6:$G$21, 7, 0)</f>
        <v>3</v>
      </c>
      <c r="E5" s="181" t="n">
        <f aca="false" ca="false" dt2D="false" dtr="false" t="normal">ROUND(D5*C5, 2)</f>
        <v>0.75</v>
      </c>
      <c r="F5" s="182" t="n"/>
      <c r="G5" s="180" t="n">
        <v>0.2</v>
      </c>
      <c r="H5" s="180" t="n">
        <f aca="false" ca="false" dt2D="false" dtr="false" t="normal">G5</f>
        <v>0.2</v>
      </c>
      <c r="I5" s="181" t="n">
        <f aca="false" ca="false" dt2D="false" dtr="false" t="normal">VLOOKUP($G2, '1.1. част изм'!$A$6:$G$21, 7, 0)</f>
        <v>2</v>
      </c>
      <c r="J5" s="181" t="n">
        <f aca="false" ca="false" dt2D="false" dtr="false" t="normal">ROUND(I5*H5, 2)</f>
        <v>0.4</v>
      </c>
      <c r="K5" s="182" t="n"/>
      <c r="L5" s="180" t="n">
        <v>0.2</v>
      </c>
      <c r="M5" s="180" t="n">
        <f aca="false" ca="false" dt2D="false" dtr="false" t="normal">L5</f>
        <v>0.2</v>
      </c>
      <c r="N5" s="181" t="n">
        <f aca="false" ca="false" dt2D="false" dtr="false" t="normal">VLOOKUP($L2, '1.1. част изм'!$A$6:$G$21, 7, 0)</f>
        <v>2</v>
      </c>
      <c r="O5" s="181" t="n">
        <f aca="false" ca="false" dt2D="false" dtr="false" t="normal">ROUND(N5*M5, 2)</f>
        <v>0.4</v>
      </c>
      <c r="P5" s="182" t="n"/>
      <c r="Q5" s="180" t="n">
        <v>0.2</v>
      </c>
      <c r="R5" s="180" t="n">
        <f aca="false" ca="false" dt2D="false" dtr="false" t="normal">Q5</f>
        <v>0.2</v>
      </c>
      <c r="S5" s="181" t="n">
        <f aca="false" ca="false" dt2D="false" dtr="false" t="normal">VLOOKUP($Q2, '1.1. част изм'!$A$6:$G$21, 7, 0)</f>
        <v>4</v>
      </c>
      <c r="T5" s="181" t="n">
        <f aca="false" ca="false" dt2D="false" dtr="false" t="normal">ROUND(S5*R5, 2)</f>
        <v>0.8</v>
      </c>
      <c r="U5" s="182" t="n"/>
      <c r="V5" s="180" t="n">
        <v>0.2</v>
      </c>
      <c r="W5" s="180" t="n">
        <f aca="false" ca="false" dt2D="false" dtr="false" t="normal">V5</f>
        <v>0.2</v>
      </c>
      <c r="X5" s="181" t="n">
        <f aca="false" ca="false" dt2D="false" dtr="false" t="normal">VLOOKUP($V2, '1.1. част изм'!$A$6:$G$21, 7, 0)</f>
        <v>0</v>
      </c>
      <c r="Y5" s="181" t="n">
        <f aca="false" ca="false" dt2D="false" dtr="false" t="normal">ROUND(X5*W5, 2)</f>
        <v>0</v>
      </c>
      <c r="Z5" s="182" t="n"/>
      <c r="AA5" s="180" t="n">
        <v>0.2</v>
      </c>
      <c r="AB5" s="180" t="n">
        <f aca="false" ca="false" dt2D="false" dtr="false" t="normal">AA5</f>
        <v>0.2</v>
      </c>
      <c r="AC5" s="181" t="n">
        <f aca="false" ca="false" dt2D="false" dtr="false" t="normal">VLOOKUP($AA2, '1.1. част изм'!$A$6:$G$21, 7, 0)</f>
        <v>3</v>
      </c>
      <c r="AD5" s="181" t="n">
        <f aca="false" ca="false" dt2D="false" dtr="false" t="normal">ROUND(AC5*AB5, 2)</f>
        <v>0.6</v>
      </c>
      <c r="AE5" s="182" t="n"/>
      <c r="AF5" s="180" t="n">
        <v>0.2</v>
      </c>
      <c r="AG5" s="180" t="n">
        <f aca="false" ca="false" dt2D="false" dtr="false" t="normal">AF5</f>
        <v>0.2</v>
      </c>
      <c r="AH5" s="181" t="n">
        <f aca="false" ca="false" dt2D="false" dtr="false" t="normal">VLOOKUP($AF2, '1.1. част изм'!$A$6:$G$21, 7, 0)</f>
        <v>2</v>
      </c>
      <c r="AI5" s="181" t="n">
        <f aca="false" ca="false" dt2D="false" dtr="false" t="normal">ROUND(AH5*AG5, 2)</f>
        <v>0.4</v>
      </c>
      <c r="AJ5" s="182" t="n"/>
      <c r="AK5" s="180" t="n">
        <v>0.2</v>
      </c>
      <c r="AL5" s="180" t="n">
        <f aca="false" ca="false" dt2D="false" dtr="false" t="normal">AK5</f>
        <v>0.2</v>
      </c>
      <c r="AM5" s="181" t="n">
        <f aca="false" ca="false" dt2D="false" dtr="false" t="normal">VLOOKUP($AK2, '1.1. част изм'!$A$6:$G$21, 7, 0)</f>
        <v>1</v>
      </c>
      <c r="AN5" s="181" t="n">
        <f aca="false" ca="false" dt2D="false" dtr="false" t="normal">ROUND(AM5*AL5, 2)</f>
        <v>0.2</v>
      </c>
      <c r="AO5" s="182" t="n"/>
      <c r="AP5" s="180" t="n">
        <v>0.2</v>
      </c>
      <c r="AQ5" s="180" t="n">
        <f aca="false" ca="false" dt2D="false" dtr="false" t="normal">AP5</f>
        <v>0.2</v>
      </c>
      <c r="AR5" s="181" t="n">
        <f aca="false" ca="false" dt2D="false" dtr="false" t="normal">VLOOKUP($AP2, '1.1. част изм'!$A$6:$G$21, 7, 0)</f>
        <v>1</v>
      </c>
      <c r="AS5" s="181" t="n">
        <f aca="false" ca="false" dt2D="false" dtr="false" t="normal">ROUND(AR5*AQ5, 2)</f>
        <v>0.2</v>
      </c>
      <c r="AT5" s="182" t="n"/>
      <c r="AU5" s="180" t="n">
        <v>0.2</v>
      </c>
      <c r="AV5" s="180" t="n">
        <f aca="false" ca="false" dt2D="false" dtr="false" t="normal">AU5</f>
        <v>0.2</v>
      </c>
      <c r="AW5" s="181" t="n">
        <f aca="false" ca="false" dt2D="false" dtr="false" t="normal">VLOOKUP($AU2, '1.1. част изм'!$A$6:$G$21, 7, 0)</f>
        <v>0</v>
      </c>
      <c r="AX5" s="181" t="n">
        <f aca="false" ca="false" dt2D="false" dtr="false" t="normal">ROUND(AW5*AV5, 2)</f>
        <v>0</v>
      </c>
      <c r="AY5" s="182" t="n"/>
      <c r="AZ5" s="180" t="n">
        <v>0.2</v>
      </c>
      <c r="BA5" s="180" t="n">
        <f aca="false" ca="false" dt2D="false" dtr="false" t="normal">AZ5</f>
        <v>0.2</v>
      </c>
      <c r="BB5" s="181" t="n">
        <f aca="false" ca="false" dt2D="false" dtr="false" t="normal">VLOOKUP($AZ2, '1.1. част изм'!$A$6:$G$21, 7, 0)</f>
        <v>5</v>
      </c>
      <c r="BC5" s="181" t="n">
        <f aca="false" ca="false" dt2D="false" dtr="false" t="normal">ROUND(BB5*BA5, 2)</f>
        <v>1</v>
      </c>
      <c r="BD5" s="182" t="n"/>
      <c r="BE5" s="180" t="n">
        <v>0.2</v>
      </c>
      <c r="BF5" s="180" t="n">
        <f aca="false" ca="false" dt2D="false" dtr="false" t="normal">BE5</f>
        <v>0.2</v>
      </c>
      <c r="BG5" s="181" t="n">
        <f aca="false" ca="false" dt2D="false" dtr="false" t="normal">VLOOKUP($BE2, '1.1. част изм'!$A$6:$G$21, 7, 0)</f>
        <v>0</v>
      </c>
      <c r="BH5" s="181" t="n">
        <f aca="false" ca="false" dt2D="false" dtr="false" t="normal">ROUND(BG5*BF5, 2)</f>
        <v>0</v>
      </c>
      <c r="BI5" s="182" t="n"/>
      <c r="BJ5" s="180" t="n">
        <v>0.2</v>
      </c>
      <c r="BK5" s="180" t="n">
        <f aca="false" ca="false" dt2D="false" dtr="false" t="normal">BJ5</f>
        <v>0.2</v>
      </c>
      <c r="BL5" s="181" t="n">
        <f aca="false" ca="false" dt2D="false" dtr="false" t="normal">VLOOKUP($BJ2, '1.1. част изм'!$A$6:$G$21, 7, 0)</f>
        <v>4</v>
      </c>
      <c r="BM5" s="181" t="n">
        <f aca="false" ca="false" dt2D="false" dtr="false" t="normal">ROUND(BL5*BK5, 2)</f>
        <v>0.8</v>
      </c>
      <c r="BN5" s="182" t="n"/>
      <c r="BO5" s="180" t="n">
        <v>0.2</v>
      </c>
      <c r="BP5" s="180" t="n">
        <f aca="false" ca="false" dt2D="false" dtr="false" t="normal">BO5</f>
        <v>0.2</v>
      </c>
      <c r="BQ5" s="181" t="n">
        <f aca="false" ca="false" dt2D="false" dtr="false" t="normal">VLOOKUP($BO2, '1.1. част изм'!$A$6:$G$21, 7, 0)</f>
        <v>2</v>
      </c>
      <c r="BR5" s="181" t="n">
        <f aca="false" ca="false" dt2D="false" dtr="false" t="normal">ROUND(BQ5*BP5, 2)</f>
        <v>0.4</v>
      </c>
      <c r="BS5" s="182" t="n"/>
      <c r="BT5" s="180" t="n">
        <v>0.2</v>
      </c>
      <c r="BU5" s="180" t="n">
        <f aca="false" ca="false" dt2D="false" dtr="false" t="normal">BT5</f>
        <v>0.2</v>
      </c>
      <c r="BV5" s="181" t="n">
        <f aca="false" ca="false" dt2D="false" dtr="false" t="normal">VLOOKUP($BT2, '1.1. част изм'!$A$6:$G$21, 7, 0)</f>
        <v>0</v>
      </c>
      <c r="BW5" s="181" t="n">
        <f aca="false" ca="false" dt2D="false" dtr="false" t="normal">ROUND(BV5*BU5, 2)</f>
        <v>0</v>
      </c>
      <c r="BX5" s="182" t="n"/>
      <c r="BY5" s="180" t="n">
        <v>0.2</v>
      </c>
      <c r="BZ5" s="180" t="n">
        <f aca="false" ca="false" dt2D="false" dtr="false" t="normal">ROUND(BY5*100%/80%, 5)</f>
        <v>0.25</v>
      </c>
      <c r="CA5" s="181" t="n">
        <f aca="false" ca="false" dt2D="false" dtr="false" t="normal">VLOOKUP($BY2, '1.1. част изм'!$A$6:$G$21, 7, 0)</f>
        <v>3</v>
      </c>
      <c r="CB5" s="181" t="n">
        <f aca="false" ca="false" dt2D="false" dtr="false" t="normal">ROUND(CA5*BZ5, 2)</f>
        <v>0.75</v>
      </c>
      <c r="CC5" s="182" t="n"/>
    </row>
    <row customFormat="true" ht="30" outlineLevel="0" r="6" s="178">
      <c r="A6" s="179" t="s">
        <v>104</v>
      </c>
      <c r="B6" s="180" t="n">
        <v>0.2</v>
      </c>
      <c r="C6" s="180" t="n"/>
      <c r="D6" s="181" t="n">
        <f aca="false" ca="false" dt2D="false" dtr="false" t="normal">VLOOKUP($B2, '1.2. доля БА, запл на МП'!$A$6:$F$21, 6, 0)</f>
        <v>0</v>
      </c>
      <c r="E6" s="181" t="n">
        <f aca="false" ca="false" dt2D="false" dtr="false" t="normal">ROUND(D6*C6, 2)</f>
        <v>0</v>
      </c>
      <c r="F6" s="182" t="n"/>
      <c r="G6" s="180" t="n">
        <v>0.2</v>
      </c>
      <c r="H6" s="180" t="n">
        <f aca="false" ca="false" dt2D="false" dtr="false" t="normal">G6</f>
        <v>0.2</v>
      </c>
      <c r="I6" s="181" t="n">
        <f aca="false" ca="false" dt2D="false" dtr="false" t="normal">VLOOKUP($G2, '1.2. доля БА, запл на МП'!$A$6:$F$21, 6, 0)</f>
        <v>0</v>
      </c>
      <c r="J6" s="181" t="n">
        <f aca="false" ca="false" dt2D="false" dtr="false" t="normal">ROUND(I6*H6, 2)</f>
        <v>0</v>
      </c>
      <c r="K6" s="182" t="n"/>
      <c r="L6" s="180" t="n">
        <v>0.2</v>
      </c>
      <c r="M6" s="180" t="n">
        <f aca="false" ca="false" dt2D="false" dtr="false" t="normal">L6</f>
        <v>0.2</v>
      </c>
      <c r="N6" s="181" t="n">
        <f aca="false" ca="false" dt2D="false" dtr="false" t="normal">VLOOKUP($L2, '1.2. доля БА, запл на МП'!$A$6:$F$21, 6, 0)</f>
        <v>2</v>
      </c>
      <c r="O6" s="181" t="n">
        <f aca="false" ca="false" dt2D="false" dtr="false" t="normal">ROUND(N6*M6, 2)</f>
        <v>0.4</v>
      </c>
      <c r="P6" s="182" t="n"/>
      <c r="Q6" s="180" t="n">
        <v>0.2</v>
      </c>
      <c r="R6" s="180" t="n">
        <f aca="false" ca="false" dt2D="false" dtr="false" t="normal">Q6</f>
        <v>0.2</v>
      </c>
      <c r="S6" s="181" t="n">
        <f aca="false" ca="false" dt2D="false" dtr="false" t="normal">VLOOKUP($Q2, '1.2. доля БА, запл на МП'!$A$6:$F$21, 6, 0)</f>
        <v>0</v>
      </c>
      <c r="T6" s="181" t="n">
        <f aca="false" ca="false" dt2D="false" dtr="false" t="normal">ROUND(S6*R6, 2)</f>
        <v>0</v>
      </c>
      <c r="U6" s="182" t="n"/>
      <c r="V6" s="180" t="n">
        <v>0.2</v>
      </c>
      <c r="W6" s="180" t="n">
        <f aca="false" ca="false" dt2D="false" dtr="false" t="normal">V6</f>
        <v>0.2</v>
      </c>
      <c r="X6" s="181" t="n">
        <f aca="false" ca="false" dt2D="false" dtr="false" t="normal">VLOOKUP($V2, '1.2. доля БА, запл на МП'!$A$6:$F$21, 6, 0)</f>
        <v>3</v>
      </c>
      <c r="Y6" s="181" t="n">
        <f aca="false" ca="false" dt2D="false" dtr="false" t="normal">ROUND(X6*W6, 2)</f>
        <v>0.6</v>
      </c>
      <c r="Z6" s="182" t="n"/>
      <c r="AA6" s="180" t="n">
        <v>0.2</v>
      </c>
      <c r="AB6" s="180" t="n">
        <f aca="false" ca="false" dt2D="false" dtr="false" t="normal">AA6</f>
        <v>0.2</v>
      </c>
      <c r="AC6" s="181" t="n">
        <f aca="false" ca="false" dt2D="false" dtr="false" t="normal">VLOOKUP($AA2, '1.2. доля БА, запл на МП'!$A$6:$F$21, 6, 0)</f>
        <v>5</v>
      </c>
      <c r="AD6" s="181" t="n">
        <f aca="false" ca="false" dt2D="false" dtr="false" t="normal">ROUND(AC6*AB6, 2)</f>
        <v>1</v>
      </c>
      <c r="AE6" s="182" t="n"/>
      <c r="AF6" s="180" t="n">
        <v>0.2</v>
      </c>
      <c r="AG6" s="180" t="n">
        <f aca="false" ca="false" dt2D="false" dtr="false" t="normal">AF6</f>
        <v>0.2</v>
      </c>
      <c r="AH6" s="181" t="n">
        <f aca="false" ca="false" dt2D="false" dtr="false" t="normal">VLOOKUP($AF2, '1.2. доля БА, запл на МП'!$A$6:$F$21, 6, 0)</f>
        <v>5</v>
      </c>
      <c r="AI6" s="181" t="n">
        <f aca="false" ca="false" dt2D="false" dtr="false" t="normal">ROUND(AH6*AG6, 2)</f>
        <v>1</v>
      </c>
      <c r="AJ6" s="182" t="n"/>
      <c r="AK6" s="180" t="n">
        <v>0.2</v>
      </c>
      <c r="AL6" s="180" t="n">
        <f aca="false" ca="false" dt2D="false" dtr="false" t="normal">AK6</f>
        <v>0.2</v>
      </c>
      <c r="AM6" s="181" t="n">
        <f aca="false" ca="false" dt2D="false" dtr="false" t="normal">VLOOKUP($AK2, '1.2. доля БА, запл на МП'!$A$6:$F$21, 6, 0)</f>
        <v>5</v>
      </c>
      <c r="AN6" s="181" t="n">
        <f aca="false" ca="false" dt2D="false" dtr="false" t="normal">ROUND(AM6*AL6, 2)</f>
        <v>1</v>
      </c>
      <c r="AO6" s="182" t="n"/>
      <c r="AP6" s="180" t="n">
        <v>0.2</v>
      </c>
      <c r="AQ6" s="180" t="n">
        <f aca="false" ca="false" dt2D="false" dtr="false" t="normal">AP6</f>
        <v>0.2</v>
      </c>
      <c r="AR6" s="181" t="n">
        <f aca="false" ca="false" dt2D="false" dtr="false" t="normal">VLOOKUP($AP2, '1.2. доля БА, запл на МП'!$A$6:$F$21, 6, 0)</f>
        <v>5</v>
      </c>
      <c r="AS6" s="181" t="n">
        <f aca="false" ca="false" dt2D="false" dtr="false" t="normal">ROUND(AR6*AQ6, 2)</f>
        <v>1</v>
      </c>
      <c r="AT6" s="182" t="n"/>
      <c r="AU6" s="180" t="n">
        <v>0.2</v>
      </c>
      <c r="AV6" s="180" t="n">
        <f aca="false" ca="false" dt2D="false" dtr="false" t="normal">AU6</f>
        <v>0.2</v>
      </c>
      <c r="AW6" s="181" t="n">
        <f aca="false" ca="false" dt2D="false" dtr="false" t="normal">VLOOKUP($AU2, '1.2. доля БА, запл на МП'!$A$6:$F$21, 6, 0)</f>
        <v>4</v>
      </c>
      <c r="AX6" s="181" t="n">
        <f aca="false" ca="false" dt2D="false" dtr="false" t="normal">ROUND(AW6*AV6, 2)</f>
        <v>0.8</v>
      </c>
      <c r="AY6" s="182" t="n"/>
      <c r="AZ6" s="180" t="n">
        <v>0.2</v>
      </c>
      <c r="BA6" s="180" t="n">
        <f aca="false" ca="false" dt2D="false" dtr="false" t="normal">AZ6</f>
        <v>0.2</v>
      </c>
      <c r="BB6" s="181" t="n">
        <f aca="false" ca="false" dt2D="false" dtr="false" t="normal">VLOOKUP($AZ2, '1.2. доля БА, запл на МП'!$A$6:$F$21, 6, 0)</f>
        <v>4</v>
      </c>
      <c r="BC6" s="181" t="n">
        <f aca="false" ca="false" dt2D="false" dtr="false" t="normal">ROUND(BB6*BA6, 2)</f>
        <v>0.8</v>
      </c>
      <c r="BD6" s="182" t="n"/>
      <c r="BE6" s="180" t="n">
        <v>0.2</v>
      </c>
      <c r="BF6" s="180" t="n">
        <f aca="false" ca="false" dt2D="false" dtr="false" t="normal">BE6</f>
        <v>0.2</v>
      </c>
      <c r="BG6" s="181" t="n">
        <f aca="false" ca="false" dt2D="false" dtr="false" t="normal">VLOOKUP($BE2, '1.2. доля БА, запл на МП'!$A$6:$F$21, 6, 0)</f>
        <v>5</v>
      </c>
      <c r="BH6" s="181" t="n">
        <f aca="false" ca="false" dt2D="false" dtr="false" t="normal">ROUND(BG6*BF6, 2)</f>
        <v>1</v>
      </c>
      <c r="BI6" s="182" t="n"/>
      <c r="BJ6" s="180" t="n">
        <v>0.2</v>
      </c>
      <c r="BK6" s="180" t="n">
        <f aca="false" ca="false" dt2D="false" dtr="false" t="normal">BJ6</f>
        <v>0.2</v>
      </c>
      <c r="BL6" s="181" t="n">
        <f aca="false" ca="false" dt2D="false" dtr="false" t="normal">VLOOKUP($BJ2, '1.2. доля БА, запл на МП'!$A$6:$F$21, 6, 0)</f>
        <v>5</v>
      </c>
      <c r="BM6" s="181" t="n">
        <f aca="false" ca="false" dt2D="false" dtr="false" t="normal">ROUND(BL6*BK6, 2)</f>
        <v>1</v>
      </c>
      <c r="BN6" s="182" t="n"/>
      <c r="BO6" s="180" t="n">
        <v>0.2</v>
      </c>
      <c r="BP6" s="180" t="n">
        <f aca="false" ca="false" dt2D="false" dtr="false" t="normal">BO6</f>
        <v>0.2</v>
      </c>
      <c r="BQ6" s="181" t="n">
        <f aca="false" ca="false" dt2D="false" dtr="false" t="normal">VLOOKUP($BO2, '1.2. доля БА, запл на МП'!$A$6:$F$21, 6, 0)</f>
        <v>5</v>
      </c>
      <c r="BR6" s="181" t="n">
        <f aca="false" ca="false" dt2D="false" dtr="false" t="normal">ROUND(BQ6*BP6, 2)</f>
        <v>1</v>
      </c>
      <c r="BS6" s="182" t="n"/>
      <c r="BT6" s="180" t="n">
        <v>0.2</v>
      </c>
      <c r="BU6" s="180" t="n">
        <f aca="false" ca="false" dt2D="false" dtr="false" t="normal">BT6</f>
        <v>0.2</v>
      </c>
      <c r="BV6" s="181" t="n">
        <f aca="false" ca="false" dt2D="false" dtr="false" t="normal">VLOOKUP($BT2, '1.2. доля БА, запл на МП'!$A$6:$F$21, 6, 0)</f>
        <v>4</v>
      </c>
      <c r="BW6" s="181" t="n">
        <f aca="false" ca="false" dt2D="false" dtr="false" t="normal">ROUND(BV6*BU6, 2)</f>
        <v>0.8</v>
      </c>
      <c r="BX6" s="182" t="n"/>
      <c r="BY6" s="180" t="n">
        <v>0.2</v>
      </c>
      <c r="BZ6" s="180" t="n"/>
      <c r="CA6" s="181" t="n">
        <f aca="false" ca="false" dt2D="false" dtr="false" t="normal">VLOOKUP($BY2, '1.2. доля БА, запл на МП'!$A$6:$F$21, 6, 0)</f>
        <v>0</v>
      </c>
      <c r="CB6" s="181" t="n">
        <f aca="false" ca="false" dt2D="false" dtr="false" t="normal">ROUND(CA6*BZ6, 2)</f>
        <v>0</v>
      </c>
      <c r="CC6" s="182" t="n"/>
    </row>
    <row customFormat="true" ht="75" outlineLevel="0" r="7" s="178">
      <c r="A7" s="179" t="s">
        <v>105</v>
      </c>
      <c r="B7" s="180" t="n">
        <v>0.2</v>
      </c>
      <c r="C7" s="180" t="n">
        <f aca="false" ca="false" dt2D="false" dtr="false" t="normal">ROUND(B7*100%/80%, 5)</f>
        <v>0.25</v>
      </c>
      <c r="D7" s="183" t="str">
        <f aca="false" ca="false" dt2D="false" dtr="false" t="normal">VLOOKUP($B2, '1.3. соблюд сроков'!$A$6:$F$21, 6, 0)</f>
        <v>5</v>
      </c>
      <c r="E7" s="181" t="n">
        <f aca="false" ca="false" dt2D="false" dtr="false" t="normal">ROUND(D7*C7, 2)</f>
        <v>1.25</v>
      </c>
      <c r="F7" s="182" t="n"/>
      <c r="G7" s="180" t="n">
        <v>0.2</v>
      </c>
      <c r="H7" s="180" t="n">
        <f aca="false" ca="false" dt2D="false" dtr="false" t="normal">G7</f>
        <v>0.2</v>
      </c>
      <c r="I7" s="183" t="str">
        <f aca="false" ca="false" dt2D="false" dtr="false" t="normal">VLOOKUP($G2, '1.3. соблюд сроков'!$A$6:$F$21, 6, 0)</f>
        <v>5</v>
      </c>
      <c r="J7" s="181" t="n">
        <f aca="false" ca="false" dt2D="false" dtr="false" t="normal">ROUND(I7*H7, 2)</f>
        <v>1</v>
      </c>
      <c r="K7" s="182" t="n"/>
      <c r="L7" s="180" t="n">
        <v>0.2</v>
      </c>
      <c r="M7" s="180" t="n">
        <f aca="false" ca="false" dt2D="false" dtr="false" t="normal">L7</f>
        <v>0.2</v>
      </c>
      <c r="N7" s="183" t="str">
        <f aca="false" ca="false" dt2D="false" dtr="false" t="normal">VLOOKUP($L2, '1.3. соблюд сроков'!$A$6:$F$21, 6, 0)</f>
        <v>5</v>
      </c>
      <c r="O7" s="181" t="n">
        <f aca="false" ca="false" dt2D="false" dtr="false" t="normal">ROUND(N7*M7, 2)</f>
        <v>1</v>
      </c>
      <c r="P7" s="182" t="n"/>
      <c r="Q7" s="180" t="n">
        <v>0.2</v>
      </c>
      <c r="R7" s="180" t="n">
        <f aca="false" ca="false" dt2D="false" dtr="false" t="normal">Q7</f>
        <v>0.2</v>
      </c>
      <c r="S7" s="183" t="str">
        <f aca="false" ca="false" dt2D="false" dtr="false" t="normal">VLOOKUP($Q2, '1.3. соблюд сроков'!$A$6:$F$21, 6, 0)</f>
        <v>5</v>
      </c>
      <c r="T7" s="181" t="n">
        <f aca="false" ca="false" dt2D="false" dtr="false" t="normal">ROUND(S7*R7, 2)</f>
        <v>1</v>
      </c>
      <c r="U7" s="182" t="n"/>
      <c r="V7" s="180" t="n">
        <v>0.2</v>
      </c>
      <c r="W7" s="180" t="n">
        <f aca="false" ca="false" dt2D="false" dtr="false" t="normal">V7</f>
        <v>0.2</v>
      </c>
      <c r="X7" s="183" t="str">
        <f aca="false" ca="false" dt2D="false" dtr="false" t="normal">VLOOKUP($V2, '1.3. соблюд сроков'!$A$6:$F$21, 6, 0)</f>
        <v>5</v>
      </c>
      <c r="Y7" s="181" t="n">
        <f aca="false" ca="false" dt2D="false" dtr="false" t="normal">ROUND(X7*W7, 2)</f>
        <v>1</v>
      </c>
      <c r="Z7" s="182" t="n"/>
      <c r="AA7" s="180" t="n">
        <v>0.2</v>
      </c>
      <c r="AB7" s="180" t="n">
        <f aca="false" ca="false" dt2D="false" dtr="false" t="normal">AA7</f>
        <v>0.2</v>
      </c>
      <c r="AC7" s="183" t="str">
        <f aca="false" ca="false" dt2D="false" dtr="false" t="normal">VLOOKUP($AA2, '1.3. соблюд сроков'!$A$6:$F$21, 6, 0)</f>
        <v>5</v>
      </c>
      <c r="AD7" s="181" t="n">
        <f aca="false" ca="false" dt2D="false" dtr="false" t="normal">ROUND(AC7*AB7, 2)</f>
        <v>1</v>
      </c>
      <c r="AE7" s="182" t="n"/>
      <c r="AF7" s="180" t="n">
        <v>0.2</v>
      </c>
      <c r="AG7" s="180" t="n">
        <f aca="false" ca="false" dt2D="false" dtr="false" t="normal">AF7</f>
        <v>0.2</v>
      </c>
      <c r="AH7" s="183" t="str">
        <f aca="false" ca="false" dt2D="false" dtr="false" t="normal">VLOOKUP($AF2, '1.3. соблюд сроков'!$A$6:$F$21, 6, 0)</f>
        <v>5</v>
      </c>
      <c r="AI7" s="181" t="n">
        <f aca="false" ca="false" dt2D="false" dtr="false" t="normal">ROUND(AH7*AG7, 2)</f>
        <v>1</v>
      </c>
      <c r="AJ7" s="182" t="n"/>
      <c r="AK7" s="180" t="n">
        <v>0.2</v>
      </c>
      <c r="AL7" s="180" t="n">
        <f aca="false" ca="false" dt2D="false" dtr="false" t="normal">AK7</f>
        <v>0.2</v>
      </c>
      <c r="AM7" s="183" t="str">
        <f aca="false" ca="false" dt2D="false" dtr="false" t="normal">VLOOKUP($AK2, '1.3. соблюд сроков'!$A$6:$F$21, 6, 0)</f>
        <v>5</v>
      </c>
      <c r="AN7" s="181" t="n">
        <f aca="false" ca="false" dt2D="false" dtr="false" t="normal">ROUND(AM7*AL7, 2)</f>
        <v>1</v>
      </c>
      <c r="AO7" s="182" t="n"/>
      <c r="AP7" s="180" t="n">
        <v>0.2</v>
      </c>
      <c r="AQ7" s="180" t="n">
        <f aca="false" ca="false" dt2D="false" dtr="false" t="normal">AP7</f>
        <v>0.2</v>
      </c>
      <c r="AR7" s="183" t="str">
        <f aca="false" ca="false" dt2D="false" dtr="false" t="normal">VLOOKUP($AP2, '1.3. соблюд сроков'!$A$6:$F$21, 6, 0)</f>
        <v>5</v>
      </c>
      <c r="AS7" s="181" t="n">
        <f aca="false" ca="false" dt2D="false" dtr="false" t="normal">ROUND(AR7*AQ7, 2)</f>
        <v>1</v>
      </c>
      <c r="AT7" s="182" t="n"/>
      <c r="AU7" s="180" t="n">
        <v>0.2</v>
      </c>
      <c r="AV7" s="180" t="n">
        <f aca="false" ca="false" dt2D="false" dtr="false" t="normal">AU7</f>
        <v>0.2</v>
      </c>
      <c r="AW7" s="183" t="str">
        <f aca="false" ca="false" dt2D="false" dtr="false" t="normal">VLOOKUP($AU2, '1.3. соблюд сроков'!$A$6:$F$21, 6, 0)</f>
        <v>5</v>
      </c>
      <c r="AX7" s="181" t="n">
        <f aca="false" ca="false" dt2D="false" dtr="false" t="normal">ROUND(AW7*AV7, 2)</f>
        <v>1</v>
      </c>
      <c r="AY7" s="182" t="n"/>
      <c r="AZ7" s="180" t="n">
        <v>0.2</v>
      </c>
      <c r="BA7" s="180" t="n">
        <f aca="false" ca="false" dt2D="false" dtr="false" t="normal">AZ7</f>
        <v>0.2</v>
      </c>
      <c r="BB7" s="183" t="str">
        <f aca="false" ca="false" dt2D="false" dtr="false" t="normal">VLOOKUP($AZ2, '1.3. соблюд сроков'!$A$6:$F$21, 6, 0)</f>
        <v>5</v>
      </c>
      <c r="BC7" s="181" t="n">
        <f aca="false" ca="false" dt2D="false" dtr="false" t="normal">ROUND(BB7*BA7, 2)</f>
        <v>1</v>
      </c>
      <c r="BD7" s="182" t="n"/>
      <c r="BE7" s="180" t="n">
        <v>0.2</v>
      </c>
      <c r="BF7" s="180" t="n">
        <f aca="false" ca="false" dt2D="false" dtr="false" t="normal">BE7</f>
        <v>0.2</v>
      </c>
      <c r="BG7" s="183" t="str">
        <f aca="false" ca="false" dt2D="false" dtr="false" t="normal">VLOOKUP($BE2, '1.3. соблюд сроков'!$A$6:$F$21, 6, 0)</f>
        <v>5</v>
      </c>
      <c r="BH7" s="181" t="n">
        <f aca="false" ca="false" dt2D="false" dtr="false" t="normal">ROUND(BG7*BF7, 2)</f>
        <v>1</v>
      </c>
      <c r="BI7" s="182" t="n"/>
      <c r="BJ7" s="180" t="n">
        <v>0.2</v>
      </c>
      <c r="BK7" s="180" t="n">
        <f aca="false" ca="false" dt2D="false" dtr="false" t="normal">BJ7</f>
        <v>0.2</v>
      </c>
      <c r="BL7" s="183" t="str">
        <f aca="false" ca="false" dt2D="false" dtr="false" t="normal">VLOOKUP($BJ2, '1.3. соблюд сроков'!$A$6:$F$21, 6, 0)</f>
        <v>5</v>
      </c>
      <c r="BM7" s="181" t="n">
        <f aca="false" ca="false" dt2D="false" dtr="false" t="normal">ROUND(BL7*BK7, 2)</f>
        <v>1</v>
      </c>
      <c r="BN7" s="182" t="n"/>
      <c r="BO7" s="180" t="n">
        <v>0.2</v>
      </c>
      <c r="BP7" s="180" t="n">
        <f aca="false" ca="false" dt2D="false" dtr="false" t="normal">BO7</f>
        <v>0.2</v>
      </c>
      <c r="BQ7" s="183" t="str">
        <f aca="false" ca="false" dt2D="false" dtr="false" t="normal">VLOOKUP($BO2, '1.3. соблюд сроков'!$A$6:$F$21, 6, 0)</f>
        <v>5</v>
      </c>
      <c r="BR7" s="181" t="n">
        <f aca="false" ca="false" dt2D="false" dtr="false" t="normal">ROUND(BQ7*BP7, 2)</f>
        <v>1</v>
      </c>
      <c r="BS7" s="182" t="n"/>
      <c r="BT7" s="180" t="n">
        <v>0.2</v>
      </c>
      <c r="BU7" s="180" t="n">
        <f aca="false" ca="false" dt2D="false" dtr="false" t="normal">BT7</f>
        <v>0.2</v>
      </c>
      <c r="BV7" s="183" t="str">
        <f aca="false" ca="false" dt2D="false" dtr="false" t="normal">VLOOKUP($BT2, '1.3. соблюд сроков'!$A$6:$F$21, 6, 0)</f>
        <v>5</v>
      </c>
      <c r="BW7" s="181" t="n">
        <f aca="false" ca="false" dt2D="false" dtr="false" t="normal">ROUND(BV7*BU7, 2)</f>
        <v>1</v>
      </c>
      <c r="BX7" s="182" t="n"/>
      <c r="BY7" s="180" t="n">
        <v>0.2</v>
      </c>
      <c r="BZ7" s="180" t="n">
        <f aca="false" ca="false" dt2D="false" dtr="false" t="normal">ROUND(BY7*100%/80%, 5)</f>
        <v>0.25</v>
      </c>
      <c r="CA7" s="183" t="str">
        <f aca="false" ca="false" dt2D="false" dtr="false" t="normal">VLOOKUP($BY2, '1.3. соблюд сроков'!$A$6:$F$21, 6, 0)</f>
        <v>5</v>
      </c>
      <c r="CB7" s="181" t="n">
        <f aca="false" ca="false" dt2D="false" dtr="false" t="normal">ROUND(CA7*BZ7, 2)</f>
        <v>1.25</v>
      </c>
      <c r="CC7" s="182" t="n"/>
    </row>
    <row customFormat="true" ht="30" outlineLevel="0" r="8" s="178">
      <c r="A8" s="179" t="s">
        <v>106</v>
      </c>
      <c r="B8" s="180" t="n">
        <v>0.2</v>
      </c>
      <c r="C8" s="180" t="n">
        <f aca="false" ca="false" dt2D="false" dtr="false" t="normal">ROUND(B8*100%/80%, 5)</f>
        <v>0.25</v>
      </c>
      <c r="D8" s="181" t="n">
        <f aca="false" ca="false" dt2D="false" dtr="false" t="normal">VLOOKUP($B2, '1.4 неис. БА'!$A$6:$F$21, 6, 0)</f>
        <v>4</v>
      </c>
      <c r="E8" s="181" t="n">
        <f aca="false" ca="false" dt2D="false" dtr="false" t="normal">ROUND(D8*C8, 2)</f>
        <v>1</v>
      </c>
      <c r="F8" s="182" t="n"/>
      <c r="G8" s="180" t="n">
        <v>0.2</v>
      </c>
      <c r="H8" s="180" t="n">
        <f aca="false" ca="false" dt2D="false" dtr="false" t="normal">G8</f>
        <v>0.2</v>
      </c>
      <c r="I8" s="181" t="n">
        <f aca="false" ca="false" dt2D="false" dtr="false" t="normal">VLOOKUP($G2, '1.4 неис. БА'!$A$6:$F$21, 6, 0)</f>
        <v>4</v>
      </c>
      <c r="J8" s="181" t="n">
        <f aca="false" ca="false" dt2D="false" dtr="false" t="normal">ROUND(I8*H8, 2)</f>
        <v>0.8</v>
      </c>
      <c r="K8" s="182" t="n"/>
      <c r="L8" s="180" t="n">
        <v>0.2</v>
      </c>
      <c r="M8" s="180" t="n">
        <f aca="false" ca="false" dt2D="false" dtr="false" t="normal">L8</f>
        <v>0.2</v>
      </c>
      <c r="N8" s="181" t="n">
        <f aca="false" ca="false" dt2D="false" dtr="false" t="normal">VLOOKUP($L2, '1.4 неис. БА'!$A$6:$F$21, 6, 0)</f>
        <v>2</v>
      </c>
      <c r="O8" s="181" t="n">
        <f aca="false" ca="false" dt2D="false" dtr="false" t="normal">ROUND(N8*M8, 2)</f>
        <v>0.4</v>
      </c>
      <c r="P8" s="182" t="n"/>
      <c r="Q8" s="180" t="n">
        <v>0.2</v>
      </c>
      <c r="R8" s="180" t="n">
        <f aca="false" ca="false" dt2D="false" dtr="false" t="normal">Q8</f>
        <v>0.2</v>
      </c>
      <c r="S8" s="181" t="n">
        <f aca="false" ca="false" dt2D="false" dtr="false" t="normal">VLOOKUP($Q2, '1.4 неис. БА'!$A$6:$F$21, 6, 0)</f>
        <v>0</v>
      </c>
      <c r="T8" s="181" t="n">
        <f aca="false" ca="false" dt2D="false" dtr="false" t="normal">ROUND(S8*R8, 2)</f>
        <v>0</v>
      </c>
      <c r="U8" s="182" t="n"/>
      <c r="V8" s="180" t="n">
        <v>0.2</v>
      </c>
      <c r="W8" s="180" t="n">
        <f aca="false" ca="false" dt2D="false" dtr="false" t="normal">V8</f>
        <v>0.2</v>
      </c>
      <c r="X8" s="181" t="n">
        <f aca="false" ca="false" dt2D="false" dtr="false" t="normal">VLOOKUP($V2, '1.4 неис. БА'!$A$6:$F$21, 6, 0)</f>
        <v>5</v>
      </c>
      <c r="Y8" s="181" t="n">
        <f aca="false" ca="false" dt2D="false" dtr="false" t="normal">ROUND(X8*W8, 2)</f>
        <v>1</v>
      </c>
      <c r="Z8" s="182" t="n"/>
      <c r="AA8" s="180" t="n">
        <v>0.2</v>
      </c>
      <c r="AB8" s="180" t="n">
        <f aca="false" ca="false" dt2D="false" dtr="false" t="normal">AA8</f>
        <v>0.2</v>
      </c>
      <c r="AC8" s="181" t="n">
        <f aca="false" ca="false" dt2D="false" dtr="false" t="normal">VLOOKUP($AA2, '1.4 неис. БА'!$A$6:$F$21, 6, 0)</f>
        <v>4</v>
      </c>
      <c r="AD8" s="181" t="n">
        <f aca="false" ca="false" dt2D="false" dtr="false" t="normal">ROUND(AC8*AB8, 2)</f>
        <v>0.8</v>
      </c>
      <c r="AE8" s="182" t="n"/>
      <c r="AF8" s="180" t="n">
        <v>0.2</v>
      </c>
      <c r="AG8" s="180" t="n">
        <f aca="false" ca="false" dt2D="false" dtr="false" t="normal">AF8</f>
        <v>0.2</v>
      </c>
      <c r="AH8" s="181" t="n">
        <f aca="false" ca="false" dt2D="false" dtr="false" t="normal">VLOOKUP($AF2, '1.4 неис. БА'!$A$6:$F$21, 6, 0)</f>
        <v>4</v>
      </c>
      <c r="AI8" s="181" t="n">
        <f aca="false" ca="false" dt2D="false" dtr="false" t="normal">ROUND(AH8*AG8, 2)</f>
        <v>0.8</v>
      </c>
      <c r="AJ8" s="182" t="n"/>
      <c r="AK8" s="180" t="n">
        <v>0.2</v>
      </c>
      <c r="AL8" s="180" t="n">
        <f aca="false" ca="false" dt2D="false" dtr="false" t="normal">AK8</f>
        <v>0.2</v>
      </c>
      <c r="AM8" s="181" t="n">
        <f aca="false" ca="false" dt2D="false" dtr="false" t="normal">VLOOKUP($AK2, '1.4 неис. БА'!$A$6:$F$21, 6, 0)</f>
        <v>4</v>
      </c>
      <c r="AN8" s="181" t="n">
        <f aca="false" ca="false" dt2D="false" dtr="false" t="normal">ROUND(AM8*AL8, 2)</f>
        <v>0.8</v>
      </c>
      <c r="AO8" s="182" t="n"/>
      <c r="AP8" s="180" t="n">
        <v>0.2</v>
      </c>
      <c r="AQ8" s="180" t="n">
        <f aca="false" ca="false" dt2D="false" dtr="false" t="normal">AP8</f>
        <v>0.2</v>
      </c>
      <c r="AR8" s="181" t="n">
        <f aca="false" ca="false" dt2D="false" dtr="false" t="normal">VLOOKUP($AP2, '1.4 неис. БА'!$A$6:$F$21, 6, 0)</f>
        <v>3</v>
      </c>
      <c r="AS8" s="181" t="n">
        <f aca="false" ca="false" dt2D="false" dtr="false" t="normal">ROUND(AR8*AQ8, 2)</f>
        <v>0.6</v>
      </c>
      <c r="AT8" s="182" t="n"/>
      <c r="AU8" s="180" t="n">
        <v>0.2</v>
      </c>
      <c r="AV8" s="180" t="n">
        <f aca="false" ca="false" dt2D="false" dtr="false" t="normal">AU8</f>
        <v>0.2</v>
      </c>
      <c r="AW8" s="181" t="n">
        <f aca="false" ca="false" dt2D="false" dtr="false" t="normal">VLOOKUP($AU2, '1.4 неис. БА'!$A$6:$F$21, 6, 0)</f>
        <v>3</v>
      </c>
      <c r="AX8" s="181" t="n">
        <f aca="false" ca="false" dt2D="false" dtr="false" t="normal">ROUND(AW8*AV8, 2)</f>
        <v>0.6</v>
      </c>
      <c r="AY8" s="182" t="n"/>
      <c r="AZ8" s="180" t="n">
        <v>0.2</v>
      </c>
      <c r="BA8" s="180" t="n">
        <f aca="false" ca="false" dt2D="false" dtr="false" t="normal">AZ8</f>
        <v>0.2</v>
      </c>
      <c r="BB8" s="181" t="n">
        <f aca="false" ca="false" dt2D="false" dtr="false" t="normal">VLOOKUP($AZ2, '1.4 неис. БА'!$A$6:$F$21, 6, 0)</f>
        <v>5</v>
      </c>
      <c r="BC8" s="181" t="n">
        <f aca="false" ca="false" dt2D="false" dtr="false" t="normal">ROUND(BB8*BA8, 2)</f>
        <v>1</v>
      </c>
      <c r="BD8" s="182" t="n"/>
      <c r="BE8" s="180" t="n">
        <v>0.2</v>
      </c>
      <c r="BF8" s="180" t="n">
        <f aca="false" ca="false" dt2D="false" dtr="false" t="normal">BE8</f>
        <v>0.2</v>
      </c>
      <c r="BG8" s="181" t="n">
        <f aca="false" ca="false" dt2D="false" dtr="false" t="normal">VLOOKUP($BE2, '1.4 неис. БА'!$A$6:$F$21, 6, 0)</f>
        <v>2</v>
      </c>
      <c r="BH8" s="181" t="n">
        <f aca="false" ca="false" dt2D="false" dtr="false" t="normal">ROUND(BG8*BF8, 2)</f>
        <v>0.4</v>
      </c>
      <c r="BI8" s="182" t="n"/>
      <c r="BJ8" s="180" t="n">
        <v>0.2</v>
      </c>
      <c r="BK8" s="180" t="n">
        <f aca="false" ca="false" dt2D="false" dtr="false" t="normal">BJ8</f>
        <v>0.2</v>
      </c>
      <c r="BL8" s="181" t="n">
        <f aca="false" ca="false" dt2D="false" dtr="false" t="normal">VLOOKUP($BJ2, '1.4 неис. БА'!$A$6:$F$21, 6, 0)</f>
        <v>2</v>
      </c>
      <c r="BM8" s="181" t="n">
        <f aca="false" ca="false" dt2D="false" dtr="false" t="normal">ROUND(BL8*BK8, 2)</f>
        <v>0.4</v>
      </c>
      <c r="BN8" s="182" t="n"/>
      <c r="BO8" s="180" t="n">
        <v>0.2</v>
      </c>
      <c r="BP8" s="180" t="n">
        <f aca="false" ca="false" dt2D="false" dtr="false" t="normal">BO8</f>
        <v>0.2</v>
      </c>
      <c r="BQ8" s="181" t="n">
        <f aca="false" ca="false" dt2D="false" dtr="false" t="normal">VLOOKUP($BO2, '1.4 неис. БА'!$A$6:$F$21, 6, 0)</f>
        <v>1</v>
      </c>
      <c r="BR8" s="181" t="n">
        <f aca="false" ca="false" dt2D="false" dtr="false" t="normal">ROUND(BQ8*BP8, 2)</f>
        <v>0.2</v>
      </c>
      <c r="BS8" s="182" t="n"/>
      <c r="BT8" s="180" t="n">
        <v>0.2</v>
      </c>
      <c r="BU8" s="180" t="n">
        <f aca="false" ca="false" dt2D="false" dtr="false" t="normal">BT8</f>
        <v>0.2</v>
      </c>
      <c r="BV8" s="181" t="n">
        <f aca="false" ca="false" dt2D="false" dtr="false" t="normal">VLOOKUP($BT2, '1.4 неис. БА'!$A$6:$F$21, 6, 0)</f>
        <v>4</v>
      </c>
      <c r="BW8" s="181" t="n">
        <f aca="false" ca="false" dt2D="false" dtr="false" t="normal">ROUND(BV8*BU8, 2)</f>
        <v>0.8</v>
      </c>
      <c r="BX8" s="182" t="n"/>
      <c r="BY8" s="180" t="n">
        <v>0.2</v>
      </c>
      <c r="BZ8" s="180" t="n">
        <f aca="false" ca="false" dt2D="false" dtr="false" t="normal">ROUND(BY8*100%/80%, 5)</f>
        <v>0.25</v>
      </c>
      <c r="CA8" s="181" t="n">
        <f aca="false" ca="false" dt2D="false" dtr="false" t="normal">VLOOKUP($BY2, '1.4 неис. БА'!$A$6:$F$21, 6, 0)</f>
        <v>5</v>
      </c>
      <c r="CB8" s="181" t="n">
        <f aca="false" ca="false" dt2D="false" dtr="false" t="normal">ROUND(CA8*BZ8, 2)</f>
        <v>1.25</v>
      </c>
      <c r="CC8" s="182" t="n"/>
    </row>
    <row customFormat="true" ht="30" outlineLevel="0" r="9" s="178">
      <c r="A9" s="179" t="s">
        <v>107</v>
      </c>
      <c r="B9" s="180" t="n">
        <v>0.2</v>
      </c>
      <c r="C9" s="180" t="n">
        <f aca="false" ca="false" dt2D="false" dtr="false" t="normal">ROUND(B9*100%/80%, 5)</f>
        <v>0.25</v>
      </c>
      <c r="D9" s="181" t="n">
        <f aca="false" ca="false" dt2D="false" dtr="false" t="normal">VLOOKUP($B2, '1.5 планир доход'!$A$6:$F$21, 6, 0)</f>
        <v>0</v>
      </c>
      <c r="E9" s="181" t="n">
        <f aca="false" ca="false" dt2D="false" dtr="false" t="normal">ROUND(D9*C9, 2)</f>
        <v>0</v>
      </c>
      <c r="F9" s="182" t="n"/>
      <c r="G9" s="180" t="n">
        <v>0.2</v>
      </c>
      <c r="H9" s="180" t="n">
        <f aca="false" ca="false" dt2D="false" dtr="false" t="normal">G9</f>
        <v>0.2</v>
      </c>
      <c r="I9" s="181" t="n">
        <f aca="false" ca="false" dt2D="false" dtr="false" t="normal">VLOOKUP($G2, '1.5 планир доход'!$A$6:$F$21, 6, 0)</f>
        <v>5</v>
      </c>
      <c r="J9" s="181" t="n">
        <f aca="false" ca="false" dt2D="false" dtr="false" t="normal">ROUND(I9*H9, 2)</f>
        <v>1</v>
      </c>
      <c r="K9" s="182" t="n"/>
      <c r="L9" s="180" t="n">
        <v>0.2</v>
      </c>
      <c r="M9" s="180" t="n">
        <f aca="false" ca="false" dt2D="false" dtr="false" t="normal">L9</f>
        <v>0.2</v>
      </c>
      <c r="N9" s="181" t="n">
        <f aca="false" ca="false" dt2D="false" dtr="false" t="normal">VLOOKUP($L2, '1.5 планир доход'!$A$6:$F$21, 6, 0)</f>
        <v>2</v>
      </c>
      <c r="O9" s="181" t="n">
        <f aca="false" ca="false" dt2D="false" dtr="false" t="normal">ROUND(N9*M9, 2)</f>
        <v>0.4</v>
      </c>
      <c r="P9" s="182" t="n"/>
      <c r="Q9" s="180" t="n">
        <v>0.2</v>
      </c>
      <c r="R9" s="180" t="n">
        <f aca="false" ca="false" dt2D="false" dtr="false" t="normal">Q9</f>
        <v>0.2</v>
      </c>
      <c r="S9" s="181" t="n">
        <f aca="false" ca="false" dt2D="false" dtr="false" t="normal">VLOOKUP($Q2, '1.5 планир доход'!$A$6:$F$21, 6, 0)</f>
        <v>0</v>
      </c>
      <c r="T9" s="181" t="n">
        <f aca="false" ca="false" dt2D="false" dtr="false" t="normal">ROUND(S9*R9, 2)</f>
        <v>0</v>
      </c>
      <c r="U9" s="182" t="n"/>
      <c r="V9" s="180" t="n">
        <v>0.2</v>
      </c>
      <c r="W9" s="180" t="n">
        <f aca="false" ca="false" dt2D="false" dtr="false" t="normal">V9</f>
        <v>0.2</v>
      </c>
      <c r="X9" s="181" t="n">
        <f aca="false" ca="false" dt2D="false" dtr="false" t="normal">VLOOKUP($V2, '1.5 планир доход'!$A$6:$F$21, 6, 0)</f>
        <v>2</v>
      </c>
      <c r="Y9" s="181" t="n">
        <f aca="false" ca="false" dt2D="false" dtr="false" t="normal">ROUND(X9*W9, 2)</f>
        <v>0.4</v>
      </c>
      <c r="Z9" s="182" t="n"/>
      <c r="AA9" s="180" t="n">
        <v>0.2</v>
      </c>
      <c r="AB9" s="180" t="n">
        <f aca="false" ca="false" dt2D="false" dtr="false" t="normal">AA9</f>
        <v>0.2</v>
      </c>
      <c r="AC9" s="181" t="n">
        <f aca="false" ca="false" dt2D="false" dtr="false" t="normal">VLOOKUP($AA2, '1.5 планир доход'!$A$6:$F$21, 6, 0)</f>
        <v>0</v>
      </c>
      <c r="AD9" s="181" t="n">
        <f aca="false" ca="false" dt2D="false" dtr="false" t="normal">ROUND(AC9*AB9, 2)</f>
        <v>0</v>
      </c>
      <c r="AE9" s="182" t="n"/>
      <c r="AF9" s="180" t="n">
        <v>0.2</v>
      </c>
      <c r="AG9" s="180" t="n">
        <f aca="false" ca="false" dt2D="false" dtr="false" t="normal">AF9</f>
        <v>0.2</v>
      </c>
      <c r="AH9" s="181" t="n">
        <f aca="false" ca="false" dt2D="false" dtr="false" t="normal">VLOOKUP($AF2, '1.5 планир доход'!$A$6:$F$21, 6, 0)</f>
        <v>0</v>
      </c>
      <c r="AI9" s="181" t="n">
        <f aca="false" ca="false" dt2D="false" dtr="false" t="normal">ROUND(AH9*AG9, 2)</f>
        <v>0</v>
      </c>
      <c r="AJ9" s="182" t="n"/>
      <c r="AK9" s="180" t="n">
        <v>0.2</v>
      </c>
      <c r="AL9" s="180" t="n">
        <f aca="false" ca="false" dt2D="false" dtr="false" t="normal">AK9</f>
        <v>0.2</v>
      </c>
      <c r="AM9" s="181" t="n">
        <f aca="false" ca="false" dt2D="false" dtr="false" t="normal">VLOOKUP($AK2, '1.5 планир доход'!$A$6:$F$21, 6, 0)</f>
        <v>5</v>
      </c>
      <c r="AN9" s="181" t="n">
        <f aca="false" ca="false" dt2D="false" dtr="false" t="normal">ROUND(AM9*AL9, 2)</f>
        <v>1</v>
      </c>
      <c r="AO9" s="182" t="n"/>
      <c r="AP9" s="180" t="n">
        <v>0.2</v>
      </c>
      <c r="AQ9" s="180" t="n">
        <f aca="false" ca="false" dt2D="false" dtr="false" t="normal">AP9</f>
        <v>0.2</v>
      </c>
      <c r="AR9" s="181" t="n">
        <f aca="false" ca="false" dt2D="false" dtr="false" t="normal">VLOOKUP($AP2, '1.5 планир доход'!$A$6:$F$21, 6, 0)</f>
        <v>0</v>
      </c>
      <c r="AS9" s="181" t="n">
        <f aca="false" ca="false" dt2D="false" dtr="false" t="normal">ROUND(AR9*AQ9, 2)</f>
        <v>0</v>
      </c>
      <c r="AT9" s="182" t="n"/>
      <c r="AU9" s="180" t="n">
        <v>0.2</v>
      </c>
      <c r="AV9" s="180" t="n">
        <f aca="false" ca="false" dt2D="false" dtr="false" t="normal">AU9</f>
        <v>0.2</v>
      </c>
      <c r="AW9" s="181" t="n">
        <f aca="false" ca="false" dt2D="false" dtr="false" t="normal">VLOOKUP($AU2, '1.5 планир доход'!$A$6:$F$21, 6, 0)</f>
        <v>0</v>
      </c>
      <c r="AX9" s="181" t="n">
        <f aca="false" ca="false" dt2D="false" dtr="false" t="normal">ROUND(AW9*AV9, 2)</f>
        <v>0</v>
      </c>
      <c r="AY9" s="182" t="n"/>
      <c r="AZ9" s="180" t="n">
        <v>0.2</v>
      </c>
      <c r="BA9" s="180" t="n">
        <f aca="false" ca="false" dt2D="false" dtr="false" t="normal">AZ9</f>
        <v>0.2</v>
      </c>
      <c r="BB9" s="181" t="n">
        <f aca="false" ca="false" dt2D="false" dtr="false" t="normal">VLOOKUP($AZ2, '1.5 планир доход'!$A$6:$F$21, 6, 0)</f>
        <v>0</v>
      </c>
      <c r="BC9" s="181" t="n">
        <f aca="false" ca="false" dt2D="false" dtr="false" t="normal">ROUND(BB9*BA9, 2)</f>
        <v>0</v>
      </c>
      <c r="BD9" s="182" t="n"/>
      <c r="BE9" s="180" t="n">
        <v>0.2</v>
      </c>
      <c r="BF9" s="180" t="n">
        <f aca="false" ca="false" dt2D="false" dtr="false" t="normal">BE9</f>
        <v>0.2</v>
      </c>
      <c r="BG9" s="181" t="n">
        <f aca="false" ca="false" dt2D="false" dtr="false" t="normal">VLOOKUP($BE2, '1.5 планир доход'!$A$6:$F$21, 6, 0)</f>
        <v>5</v>
      </c>
      <c r="BH9" s="181" t="n">
        <f aca="false" ca="false" dt2D="false" dtr="false" t="normal">ROUND(BG9*BF9, 2)</f>
        <v>1</v>
      </c>
      <c r="BI9" s="182" t="n"/>
      <c r="BJ9" s="180" t="n">
        <v>0.2</v>
      </c>
      <c r="BK9" s="180" t="n">
        <f aca="false" ca="false" dt2D="false" dtr="false" t="normal">BJ9</f>
        <v>0.2</v>
      </c>
      <c r="BL9" s="181" t="n">
        <f aca="false" ca="false" dt2D="false" dtr="false" t="normal">VLOOKUP($BJ2, '1.5 планир доход'!$A$6:$F$21, 6, 0)</f>
        <v>0</v>
      </c>
      <c r="BM9" s="181" t="n">
        <f aca="false" ca="false" dt2D="false" dtr="false" t="normal">ROUND(BL9*BK9, 2)</f>
        <v>0</v>
      </c>
      <c r="BN9" s="182" t="n"/>
      <c r="BO9" s="180" t="n">
        <v>0.2</v>
      </c>
      <c r="BP9" s="180" t="n">
        <f aca="false" ca="false" dt2D="false" dtr="false" t="normal">BO9</f>
        <v>0.2</v>
      </c>
      <c r="BQ9" s="181" t="n">
        <f aca="false" ca="false" dt2D="false" dtr="false" t="normal">VLOOKUP($BO2, '1.5 планир доход'!$A$6:$F$21, 6, 0)</f>
        <v>0</v>
      </c>
      <c r="BR9" s="181" t="n">
        <f aca="false" ca="false" dt2D="false" dtr="false" t="normal">ROUND(BQ9*BP9, 2)</f>
        <v>0</v>
      </c>
      <c r="BS9" s="182" t="n"/>
      <c r="BT9" s="180" t="n">
        <v>0.2</v>
      </c>
      <c r="BU9" s="180" t="n">
        <f aca="false" ca="false" dt2D="false" dtr="false" t="normal">BT9</f>
        <v>0.2</v>
      </c>
      <c r="BV9" s="181" t="n">
        <f aca="false" ca="false" dt2D="false" dtr="false" t="normal">VLOOKUP($BT2, '1.5 планир доход'!$A$6:$F$21, 6, 0)</f>
        <v>0</v>
      </c>
      <c r="BW9" s="181" t="n">
        <f aca="false" ca="false" dt2D="false" dtr="false" t="normal">ROUND(BV9*BU9, 2)</f>
        <v>0</v>
      </c>
      <c r="BX9" s="182" t="n"/>
      <c r="BY9" s="180" t="n">
        <v>0.2</v>
      </c>
      <c r="BZ9" s="180" t="n">
        <f aca="false" ca="false" dt2D="false" dtr="false" t="normal">ROUND(BY9*100%/80%, 5)</f>
        <v>0.25</v>
      </c>
      <c r="CA9" s="181" t="n">
        <f aca="false" ca="false" dt2D="false" dtr="false" t="normal">VLOOKUP($BY2, '1.5 планир доход'!$A$6:$F$21, 6, 0)</f>
        <v>0</v>
      </c>
      <c r="CB9" s="181" t="n">
        <f aca="false" ca="false" dt2D="false" dtr="false" t="normal">ROUND(CA9*BZ9, 2)</f>
        <v>0</v>
      </c>
      <c r="CC9" s="182" t="n"/>
    </row>
    <row customFormat="true" ht="14.25" outlineLevel="0" r="10" s="173">
      <c r="A10" s="174" t="s">
        <v>108</v>
      </c>
      <c r="B10" s="175" t="n">
        <v>0.4</v>
      </c>
      <c r="C10" s="175" t="n">
        <f aca="false" ca="false" dt2D="false" dtr="false" t="normal">ROUND(B10*100%/70%, 5)</f>
        <v>0.57143</v>
      </c>
      <c r="D10" s="176" t="n"/>
      <c r="E10" s="176" t="n">
        <f aca="false" ca="false" dt2D="false" dtr="false" t="normal">SUM(E11:E21)</f>
        <v>3.07</v>
      </c>
      <c r="F10" s="177" t="n">
        <f aca="false" ca="false" dt2D="false" dtr="false" t="normal">ROUND(E10*C10, 2)</f>
        <v>1.75</v>
      </c>
      <c r="G10" s="175" t="n">
        <v>0.4</v>
      </c>
      <c r="H10" s="175" t="n">
        <v>0.4</v>
      </c>
      <c r="I10" s="176" t="n"/>
      <c r="J10" s="176" t="n">
        <f aca="false" ca="false" dt2D="false" dtr="false" t="normal">SUM(J11:J21)</f>
        <v>3.9</v>
      </c>
      <c r="K10" s="177" t="n">
        <f aca="false" ca="false" dt2D="false" dtr="false" t="normal">ROUND(J10*H10, 2)</f>
        <v>1.56</v>
      </c>
      <c r="L10" s="175" t="n">
        <v>0.4</v>
      </c>
      <c r="M10" s="175" t="n">
        <f aca="false" ca="false" dt2D="false" dtr="false" t="normal">ROUND(L10*100%/70%, 5)</f>
        <v>0.57143</v>
      </c>
      <c r="N10" s="176" t="n"/>
      <c r="O10" s="176" t="n">
        <f aca="false" ca="false" dt2D="false" dtr="false" t="normal">SUM(O11:O21)</f>
        <v>3.25</v>
      </c>
      <c r="P10" s="177" t="n">
        <f aca="false" ca="false" dt2D="false" dtr="false" t="normal">ROUND(O10*M10, 2)</f>
        <v>1.86</v>
      </c>
      <c r="Q10" s="175" t="n">
        <v>0.4</v>
      </c>
      <c r="R10" s="175" t="n">
        <f aca="false" ca="false" dt2D="false" dtr="false" t="normal">ROUND(Q10*100%/70%, 5)</f>
        <v>0.57143</v>
      </c>
      <c r="S10" s="176" t="n"/>
      <c r="T10" s="176" t="n">
        <f aca="false" ca="false" dt2D="false" dtr="false" t="normal">SUM(T11:T21)</f>
        <v>4.08</v>
      </c>
      <c r="U10" s="177" t="n">
        <f aca="false" ca="false" dt2D="false" dtr="false" t="normal">ROUND(T10*R10, 2)</f>
        <v>2.33</v>
      </c>
      <c r="V10" s="175" t="n">
        <v>0.4</v>
      </c>
      <c r="W10" s="175" t="n">
        <f aca="false" ca="false" dt2D="false" dtr="false" t="normal">ROUND(V10*100%/70%, 5)</f>
        <v>0.57143</v>
      </c>
      <c r="X10" s="176" t="n"/>
      <c r="Y10" s="176" t="n">
        <f aca="false" ca="false" dt2D="false" dtr="false" t="normal">SUM(Y11:Y21)</f>
        <v>4.02</v>
      </c>
      <c r="Z10" s="177" t="n">
        <f aca="false" ca="false" dt2D="false" dtr="false" t="normal">ROUND(Y10*W10, 2)</f>
        <v>2.3</v>
      </c>
      <c r="AA10" s="175" t="n">
        <v>0.4</v>
      </c>
      <c r="AB10" s="175" t="n">
        <f aca="false" ca="false" dt2D="false" dtr="false" t="normal">ROUND(AA10*100%/80%, 5)</f>
        <v>0.5</v>
      </c>
      <c r="AC10" s="176" t="n"/>
      <c r="AD10" s="176" t="n">
        <f aca="false" ca="false" dt2D="false" dtr="false" t="normal">SUM(AD11:AD21)</f>
        <v>3.25</v>
      </c>
      <c r="AE10" s="177" t="n">
        <f aca="false" ca="false" dt2D="false" dtr="false" t="normal">ROUND(AD10*AB10, 2)</f>
        <v>1.63</v>
      </c>
      <c r="AF10" s="175" t="n">
        <v>0.4</v>
      </c>
      <c r="AG10" s="175" t="n">
        <f aca="false" ca="false" dt2D="false" dtr="false" t="normal">ROUND(AF10*100%/80%, 5)</f>
        <v>0.5</v>
      </c>
      <c r="AH10" s="176" t="n"/>
      <c r="AI10" s="176" t="n">
        <f aca="false" ca="false" dt2D="false" dtr="false" t="normal">SUM(AI11:AI21)</f>
        <v>3.4</v>
      </c>
      <c r="AJ10" s="177" t="n">
        <f aca="false" ca="false" dt2D="false" dtr="false" t="normal">ROUND(AI10*AG10, 2)</f>
        <v>1.7</v>
      </c>
      <c r="AK10" s="175" t="n">
        <v>0.4</v>
      </c>
      <c r="AL10" s="175" t="n">
        <f aca="false" ca="false" dt2D="false" dtr="false" t="normal">ROUND(AK10*100%/90%, 5)</f>
        <v>0.44444</v>
      </c>
      <c r="AM10" s="176" t="n"/>
      <c r="AN10" s="176" t="n">
        <f aca="false" ca="false" dt2D="false" dtr="false" t="normal">SUM(AN11:AN21)</f>
        <v>4.300000000000001</v>
      </c>
      <c r="AO10" s="177" t="n">
        <f aca="false" ca="false" dt2D="false" dtr="false" t="normal">ROUND(AN10*AL10, 2)</f>
        <v>1.91</v>
      </c>
      <c r="AP10" s="175" t="n">
        <v>0.4</v>
      </c>
      <c r="AQ10" s="175" t="n">
        <f aca="false" ca="false" dt2D="false" dtr="false" t="normal">ROUND(AP10*100%/80%, 5)</f>
        <v>0.5</v>
      </c>
      <c r="AR10" s="176" t="n"/>
      <c r="AS10" s="176" t="n">
        <f aca="false" ca="false" dt2D="false" dtr="false" t="normal">SUM(AS11:AS21)</f>
        <v>3.5200000000000005</v>
      </c>
      <c r="AT10" s="177" t="n">
        <f aca="false" ca="false" dt2D="false" dtr="false" t="normal">ROUND(AS10*AQ10, 2)</f>
        <v>1.76</v>
      </c>
      <c r="AU10" s="175" t="n">
        <v>0.4</v>
      </c>
      <c r="AV10" s="175" t="n">
        <f aca="false" ca="false" dt2D="false" dtr="false" t="normal">ROUND(AU10*100%/70%, 5)</f>
        <v>0.57143</v>
      </c>
      <c r="AW10" s="176" t="n"/>
      <c r="AX10" s="176" t="n">
        <f aca="false" ca="false" dt2D="false" dtr="false" t="normal">SUM(AX11:AX21)</f>
        <v>4.35</v>
      </c>
      <c r="AY10" s="177" t="n">
        <f aca="false" ca="false" dt2D="false" dtr="false" t="normal">ROUND(AX10*AV10, 2)</f>
        <v>2.49</v>
      </c>
      <c r="AZ10" s="175" t="n">
        <v>0.4</v>
      </c>
      <c r="BA10" s="175" t="n">
        <f aca="false" ca="false" dt2D="false" dtr="false" t="normal">ROUND(AZ10*100%/70%, 5)</f>
        <v>0.57143</v>
      </c>
      <c r="BB10" s="176" t="n"/>
      <c r="BC10" s="176" t="n">
        <f aca="false" ca="false" dt2D="false" dtr="false" t="normal">SUM(BC11:BC21)</f>
        <v>4.1</v>
      </c>
      <c r="BD10" s="177" t="n">
        <f aca="false" ca="false" dt2D="false" dtr="false" t="normal">ROUND(BC10*BA10, 2)</f>
        <v>2.34</v>
      </c>
      <c r="BE10" s="175" t="n">
        <v>0.4</v>
      </c>
      <c r="BF10" s="175" t="n">
        <f aca="false" ca="false" dt2D="false" dtr="false" t="normal">ROUND(BE10*100%/70%, 5)</f>
        <v>0.57143</v>
      </c>
      <c r="BG10" s="176" t="n"/>
      <c r="BH10" s="176" t="n">
        <f aca="false" ca="false" dt2D="false" dtr="false" t="normal">SUM(BH11:BH21)</f>
        <v>3.8</v>
      </c>
      <c r="BI10" s="177" t="n">
        <f aca="false" ca="false" dt2D="false" dtr="false" t="normal">ROUND(BH10*BF10, 2)</f>
        <v>2.17</v>
      </c>
      <c r="BJ10" s="175" t="n">
        <v>0.4</v>
      </c>
      <c r="BK10" s="175" t="n">
        <v>0.4</v>
      </c>
      <c r="BL10" s="176" t="n"/>
      <c r="BM10" s="176" t="n">
        <f aca="false" ca="false" dt2D="false" dtr="false" t="normal">SUM(BM11:BM21)</f>
        <v>4.35</v>
      </c>
      <c r="BN10" s="177" t="n">
        <f aca="false" ca="false" dt2D="false" dtr="false" t="normal">ROUND(BM10*BK10, 2)</f>
        <v>1.74</v>
      </c>
      <c r="BO10" s="175" t="n">
        <v>0.4</v>
      </c>
      <c r="BP10" s="175" t="n">
        <f aca="false" ca="false" dt2D="false" dtr="false" t="normal">ROUND(BO10*100%/90%, 5)</f>
        <v>0.44444</v>
      </c>
      <c r="BQ10" s="176" t="n"/>
      <c r="BR10" s="176" t="n">
        <f aca="false" ca="false" dt2D="false" dtr="false" t="normal">SUM(BR11:BR21)</f>
        <v>2.8</v>
      </c>
      <c r="BS10" s="177" t="n">
        <f aca="false" ca="false" dt2D="false" dtr="false" t="normal">ROUND(BR10*BP10, 2)</f>
        <v>1.24</v>
      </c>
      <c r="BT10" s="175" t="n">
        <v>0.4</v>
      </c>
      <c r="BU10" s="175" t="n">
        <f aca="false" ca="false" dt2D="false" dtr="false" t="normal">BT10</f>
        <v>0.4</v>
      </c>
      <c r="BV10" s="176" t="n"/>
      <c r="BW10" s="176" t="n">
        <f aca="false" ca="false" dt2D="false" dtr="false" t="normal">SUM(BW11:BW21)</f>
        <v>3.41</v>
      </c>
      <c r="BX10" s="177" t="n">
        <f aca="false" ca="false" dt2D="false" dtr="false" t="normal">ROUND(BW10*BU10, 2)</f>
        <v>1.36</v>
      </c>
      <c r="BY10" s="175" t="n">
        <v>0.4</v>
      </c>
      <c r="BZ10" s="175" t="n">
        <f aca="false" ca="false" dt2D="false" dtr="false" t="normal">ROUND(BY10*100%/70%, 5)</f>
        <v>0.57143</v>
      </c>
      <c r="CA10" s="176" t="n"/>
      <c r="CB10" s="176" t="n">
        <f aca="false" ca="false" dt2D="false" dtr="false" t="normal">SUM(CB11:CB21)</f>
        <v>2.76</v>
      </c>
      <c r="CC10" s="177" t="n">
        <f aca="false" ca="false" dt2D="false" dtr="false" t="normal">ROUND(CB10*BZ10, 2)</f>
        <v>1.58</v>
      </c>
    </row>
    <row outlineLevel="0" r="11">
      <c r="A11" s="184" t="s">
        <v>109</v>
      </c>
      <c r="B11" s="185" t="n">
        <v>0.15</v>
      </c>
      <c r="C11" s="185" t="n">
        <f aca="false" ca="false" dt2D="false" dtr="false" t="normal">ROUND(B11*100%/65%, 5)</f>
        <v>0.23077</v>
      </c>
      <c r="D11" s="186" t="n">
        <f aca="false" ca="false" dt2D="false" dtr="false" t="normal">VLOOKUP($B2, '2.1. равн.расх'!$A$6:$H$21, 8, 0)</f>
        <v>4</v>
      </c>
      <c r="E11" s="186" t="n">
        <f aca="false" ca="false" dt2D="false" dtr="false" t="normal">ROUND(D11*C11, 2)</f>
        <v>0.92</v>
      </c>
      <c r="F11" s="187" t="n"/>
      <c r="G11" s="185" t="n">
        <v>0.15</v>
      </c>
      <c r="H11" s="185" t="n">
        <f aca="false" ca="false" dt2D="false" dtr="false" t="normal">G11</f>
        <v>0.15</v>
      </c>
      <c r="I11" s="186" t="n">
        <f aca="false" ca="false" dt2D="false" dtr="false" t="normal">VLOOKUP($G2, '2.1. равн.расх'!$A$6:$H$21, 8, 0)</f>
        <v>5</v>
      </c>
      <c r="J11" s="186" t="n">
        <f aca="false" ca="false" dt2D="false" dtr="false" t="normal">ROUND(I11*H11, 2)</f>
        <v>0.75</v>
      </c>
      <c r="K11" s="187" t="n"/>
      <c r="L11" s="185" t="n">
        <v>0.15</v>
      </c>
      <c r="M11" s="185" t="n">
        <f aca="false" ca="false" dt2D="false" dtr="false" t="normal">L11</f>
        <v>0.15</v>
      </c>
      <c r="N11" s="186" t="n">
        <f aca="false" ca="false" dt2D="false" dtr="false" t="normal">VLOOKUP($L2, '2.1. равн.расх'!$A$6:$H$21, 8, 0)</f>
        <v>2</v>
      </c>
      <c r="O11" s="186" t="n">
        <f aca="false" ca="false" dt2D="false" dtr="false" t="normal">ROUND(N11*M11, 2)</f>
        <v>0.3</v>
      </c>
      <c r="P11" s="187" t="n"/>
      <c r="Q11" s="185" t="n">
        <v>0.15</v>
      </c>
      <c r="R11" s="185" t="n">
        <f aca="false" ca="false" dt2D="false" dtr="false" t="normal">ROUND(Q11*100%/90%, 5)</f>
        <v>0.16667</v>
      </c>
      <c r="S11" s="186" t="n">
        <f aca="false" ca="false" dt2D="false" dtr="false" t="normal">VLOOKUP($Q2, '2.1. равн.расх'!$A$6:$H$21, 8, 0)</f>
        <v>5</v>
      </c>
      <c r="T11" s="186" t="n">
        <f aca="false" ca="false" dt2D="false" dtr="false" t="normal">ROUND(S11*R11, 2)</f>
        <v>0.83</v>
      </c>
      <c r="U11" s="187" t="n"/>
      <c r="V11" s="185" t="n">
        <v>0.15</v>
      </c>
      <c r="W11" s="185" t="n">
        <f aca="false" ca="false" dt2D="false" dtr="false" t="normal">ROUND(V11*100%/90%, 5)</f>
        <v>0.16667</v>
      </c>
      <c r="X11" s="186" t="n">
        <f aca="false" ca="false" dt2D="false" dtr="false" t="normal">VLOOKUP($V2, '2.1. равн.расх'!$A$6:$H$21, 8, 0)</f>
        <v>2</v>
      </c>
      <c r="Y11" s="186" t="n">
        <f aca="false" ca="false" dt2D="false" dtr="false" t="normal">ROUND(X11*W11, 2)</f>
        <v>0.33</v>
      </c>
      <c r="Z11" s="187" t="n"/>
      <c r="AA11" s="185" t="n">
        <v>0.15</v>
      </c>
      <c r="AB11" s="185" t="n">
        <f aca="false" ca="false" dt2D="false" dtr="false" t="normal">AA11</f>
        <v>0.15</v>
      </c>
      <c r="AC11" s="186" t="n">
        <f aca="false" ca="false" dt2D="false" dtr="false" t="normal">VLOOKUP($AA2, '2.1. равн.расх'!$A$6:$H$21, 8, 0)</f>
        <v>2</v>
      </c>
      <c r="AD11" s="186" t="n">
        <f aca="false" ca="false" dt2D="false" dtr="false" t="normal">ROUND(AC11*AB11, 2)</f>
        <v>0.3</v>
      </c>
      <c r="AE11" s="187" t="n"/>
      <c r="AF11" s="185" t="n">
        <v>0.15</v>
      </c>
      <c r="AG11" s="185" t="n">
        <f aca="false" ca="false" dt2D="false" dtr="false" t="normal">AF11</f>
        <v>0.15</v>
      </c>
      <c r="AH11" s="186" t="n">
        <f aca="false" ca="false" dt2D="false" dtr="false" t="normal">VLOOKUP($AF2, '2.1. равн.расх'!$A$6:$H$21, 8, 0)</f>
        <v>2</v>
      </c>
      <c r="AI11" s="186" t="n">
        <f aca="false" ca="false" dt2D="false" dtr="false" t="normal">ROUND(AH11*AG11, 2)</f>
        <v>0.3</v>
      </c>
      <c r="AJ11" s="187" t="n"/>
      <c r="AK11" s="185" t="n">
        <v>0.15</v>
      </c>
      <c r="AL11" s="185" t="n">
        <f aca="false" ca="false" dt2D="false" dtr="false" t="normal">ROUND(AK11*100%/90%, 5)</f>
        <v>0.16667</v>
      </c>
      <c r="AM11" s="186" t="n">
        <f aca="false" ca="false" dt2D="false" dtr="false" t="normal">VLOOKUP($AK2, '2.1. равн.расх'!$A$6:$H$21, 8, 0)</f>
        <v>5</v>
      </c>
      <c r="AN11" s="186" t="n">
        <f aca="false" ca="false" dt2D="false" dtr="false" t="normal">ROUND(AM11*AL11, 2)</f>
        <v>0.83</v>
      </c>
      <c r="AO11" s="187" t="n"/>
      <c r="AP11" s="185" t="n">
        <v>0.15</v>
      </c>
      <c r="AQ11" s="185" t="n">
        <f aca="false" ca="false" dt2D="false" dtr="false" t="normal">ROUND(AP11*100%/90%, 5)</f>
        <v>0.16667</v>
      </c>
      <c r="AR11" s="186" t="n">
        <f aca="false" ca="false" dt2D="false" dtr="false" t="normal">VLOOKUP($AP2, '2.1. равн.расх'!$A$6:$H$21, 8, 0)</f>
        <v>3</v>
      </c>
      <c r="AS11" s="186" t="n">
        <f aca="false" ca="false" dt2D="false" dtr="false" t="normal">ROUND(AR11*AQ11, 2)</f>
        <v>0.5</v>
      </c>
      <c r="AT11" s="187" t="n"/>
      <c r="AU11" s="185" t="n">
        <v>0.15</v>
      </c>
      <c r="AV11" s="185" t="n">
        <f aca="false" ca="false" dt2D="false" dtr="false" t="normal">AU11</f>
        <v>0.15</v>
      </c>
      <c r="AW11" s="186" t="n">
        <f aca="false" ca="false" dt2D="false" dtr="false" t="normal">VLOOKUP($AU2, '2.1. равн.расх'!$A$6:$H$21, 8, 0)</f>
        <v>5</v>
      </c>
      <c r="AX11" s="186" t="n">
        <f aca="false" ca="false" dt2D="false" dtr="false" t="normal">ROUND(AW11*AV11, 2)</f>
        <v>0.75</v>
      </c>
      <c r="AY11" s="187" t="n"/>
      <c r="AZ11" s="185" t="n">
        <v>0.15</v>
      </c>
      <c r="BA11" s="185" t="n">
        <f aca="false" ca="false" dt2D="false" dtr="false" t="normal">AZ11</f>
        <v>0.15</v>
      </c>
      <c r="BB11" s="186" t="n">
        <f aca="false" ca="false" dt2D="false" dtr="false" t="normal">VLOOKUP($AZ2, '2.1. равн.расх'!$A$6:$H$21, 8, 0)</f>
        <v>5</v>
      </c>
      <c r="BC11" s="186" t="n">
        <f aca="false" ca="false" dt2D="false" dtr="false" t="normal">ROUND(BB11*BA11, 2)</f>
        <v>0.75</v>
      </c>
      <c r="BD11" s="187" t="n"/>
      <c r="BE11" s="185" t="n">
        <v>0.15</v>
      </c>
      <c r="BF11" s="185" t="n">
        <f aca="false" ca="false" dt2D="false" dtr="false" t="normal">BE11</f>
        <v>0.15</v>
      </c>
      <c r="BG11" s="186" t="n">
        <f aca="false" ca="false" dt2D="false" dtr="false" t="normal">VLOOKUP($BE2, '2.1. равн.расх'!$A$6:$H$21, 8, 0)</f>
        <v>5</v>
      </c>
      <c r="BH11" s="186" t="n">
        <f aca="false" ca="false" dt2D="false" dtr="false" t="normal">ROUND(BG11*BF11, 2)</f>
        <v>0.75</v>
      </c>
      <c r="BI11" s="187" t="n"/>
      <c r="BJ11" s="185" t="n">
        <v>0.15</v>
      </c>
      <c r="BK11" s="185" t="n">
        <f aca="false" ca="false" dt2D="false" dtr="false" t="normal">BJ11</f>
        <v>0.15</v>
      </c>
      <c r="BL11" s="186" t="n">
        <f aca="false" ca="false" dt2D="false" dtr="false" t="normal">VLOOKUP($BJ2, '2.1. равн.расх'!$A$6:$H$21, 8, 0)</f>
        <v>5</v>
      </c>
      <c r="BM11" s="186" t="n">
        <f aca="false" ca="false" dt2D="false" dtr="false" t="normal">ROUND(BL11*BK11, 2)</f>
        <v>0.75</v>
      </c>
      <c r="BN11" s="187" t="n"/>
      <c r="BO11" s="185" t="n">
        <v>0.15</v>
      </c>
      <c r="BP11" s="185" t="n">
        <f aca="false" ca="false" dt2D="false" dtr="false" t="normal">BO11</f>
        <v>0.15</v>
      </c>
      <c r="BQ11" s="186" t="n">
        <f aca="false" ca="false" dt2D="false" dtr="false" t="normal">VLOOKUP($BO2, '2.1. равн.расх'!$A$6:$H$21, 8, 0)</f>
        <v>0</v>
      </c>
      <c r="BR11" s="186" t="n">
        <f aca="false" ca="false" dt2D="false" dtr="false" t="normal">ROUND(BQ11*BP11, 2)</f>
        <v>0</v>
      </c>
      <c r="BS11" s="187" t="n"/>
      <c r="BT11" s="185" t="n">
        <v>0.15</v>
      </c>
      <c r="BU11" s="185" t="n">
        <f aca="false" ca="false" dt2D="false" dtr="false" t="normal">ROUND(BT11*100%/90%, 5)</f>
        <v>0.16667</v>
      </c>
      <c r="BV11" s="186" t="n">
        <f aca="false" ca="false" dt2D="false" dtr="false" t="normal">VLOOKUP($BT2, '2.1. равн.расх'!$A$6:$H$21, 8, 0)</f>
        <v>2</v>
      </c>
      <c r="BW11" s="186" t="n">
        <f aca="false" ca="false" dt2D="false" dtr="false" t="normal">ROUND(BV11*BU11, 2)</f>
        <v>0.33</v>
      </c>
      <c r="BX11" s="187" t="n"/>
      <c r="BY11" s="185" t="n">
        <v>0.15</v>
      </c>
      <c r="BZ11" s="185" t="n">
        <f aca="false" ca="false" dt2D="false" dtr="false" t="normal">ROUND(BY11*100%/65%, 5)</f>
        <v>0.23077</v>
      </c>
      <c r="CA11" s="186" t="n">
        <f aca="false" ca="false" dt2D="false" dtr="false" t="normal">VLOOKUP($BY2, '2.1. равн.расх'!$A$6:$H$21, 8, 0)</f>
        <v>2</v>
      </c>
      <c r="CB11" s="186" t="n">
        <f aca="false" ca="false" dt2D="false" dtr="false" t="normal">ROUND(CA11*BZ11, 2)</f>
        <v>0.46</v>
      </c>
      <c r="CC11" s="187" t="n"/>
    </row>
    <row customFormat="true" ht="45" outlineLevel="0" r="12" s="188">
      <c r="A12" s="179" t="s">
        <v>110</v>
      </c>
      <c r="B12" s="180" t="n">
        <v>0.15</v>
      </c>
      <c r="C12" s="180" t="n"/>
      <c r="D12" s="181" t="n">
        <f aca="false" ca="false" dt2D="false" dtr="false" t="normal">VLOOKUP($B2, '2.2. МП'!$A$6:$F$21, 6, 0)</f>
        <v>0</v>
      </c>
      <c r="E12" s="181" t="n">
        <f aca="false" ca="false" dt2D="false" dtr="false" t="normal">ROUND(D12*C12, 2)</f>
        <v>0</v>
      </c>
      <c r="F12" s="182" t="n"/>
      <c r="G12" s="180" t="n">
        <v>0.15</v>
      </c>
      <c r="H12" s="180" t="n">
        <f aca="false" ca="false" dt2D="false" dtr="false" t="normal">G12</f>
        <v>0.15</v>
      </c>
      <c r="I12" s="181" t="n">
        <f aca="false" ca="false" dt2D="false" dtr="false" t="normal">VLOOKUP($G2, '2.2. МП'!$A$6:$F$21, 6, 0)</f>
        <v>5</v>
      </c>
      <c r="J12" s="181" t="n">
        <f aca="false" ca="false" dt2D="false" dtr="false" t="normal">ROUND(I12*H12, 2)</f>
        <v>0.75</v>
      </c>
      <c r="K12" s="182" t="n"/>
      <c r="L12" s="180" t="n">
        <v>0.15</v>
      </c>
      <c r="M12" s="180" t="n">
        <f aca="false" ca="false" dt2D="false" dtr="false" t="normal">L12</f>
        <v>0.15</v>
      </c>
      <c r="N12" s="181" t="n">
        <f aca="false" ca="false" dt2D="false" dtr="false" t="normal">VLOOKUP($L2, '2.2. МП'!$A$6:$F$21, 6, 0)</f>
        <v>3</v>
      </c>
      <c r="O12" s="181" t="n">
        <f aca="false" ca="false" dt2D="false" dtr="false" t="normal">ROUND(N12*M12, 2)</f>
        <v>0.45</v>
      </c>
      <c r="P12" s="182" t="n"/>
      <c r="Q12" s="180" t="n">
        <v>0.15</v>
      </c>
      <c r="R12" s="180" t="n">
        <f aca="false" ca="false" dt2D="false" dtr="false" t="normal">ROUND(Q12*100%/90%, 5)</f>
        <v>0.16667</v>
      </c>
      <c r="S12" s="181" t="n">
        <f aca="false" ca="false" dt2D="false" dtr="false" t="normal">VLOOKUP($Q2, '2.2. МП'!$A$6:$F$21, 6, 0)</f>
        <v>4</v>
      </c>
      <c r="T12" s="181" t="n">
        <f aca="false" ca="false" dt2D="false" dtr="false" t="normal">ROUND(S12*R12, 2)</f>
        <v>0.67</v>
      </c>
      <c r="U12" s="182" t="n"/>
      <c r="V12" s="180" t="n">
        <v>0.15</v>
      </c>
      <c r="W12" s="180" t="n">
        <f aca="false" ca="false" dt2D="false" dtr="false" t="normal">ROUND(V12*100%/90%, 5)</f>
        <v>0.16667</v>
      </c>
      <c r="X12" s="181" t="n">
        <f aca="false" ca="false" dt2D="false" dtr="false" t="normal">VLOOKUP($V2, '2.2. МП'!$A$6:$F$21, 6, 0)</f>
        <v>5</v>
      </c>
      <c r="Y12" s="181" t="n">
        <f aca="false" ca="false" dt2D="false" dtr="false" t="normal">ROUND(X12*W12, 2)</f>
        <v>0.83</v>
      </c>
      <c r="Z12" s="182" t="n"/>
      <c r="AA12" s="180" t="n">
        <v>0.15</v>
      </c>
      <c r="AB12" s="180" t="n">
        <f aca="false" ca="false" dt2D="false" dtr="false" t="normal">AA12</f>
        <v>0.15</v>
      </c>
      <c r="AC12" s="181" t="n">
        <f aca="false" ca="false" dt2D="false" dtr="false" t="normal">VLOOKUP($AA2, '2.2. МП'!$A$6:$F$21, 6, 0)</f>
        <v>4</v>
      </c>
      <c r="AD12" s="181" t="n">
        <f aca="false" ca="false" dt2D="false" dtr="false" t="normal">ROUND(AC12*AB12, 2)</f>
        <v>0.6</v>
      </c>
      <c r="AE12" s="182" t="n"/>
      <c r="AF12" s="180" t="n">
        <v>0.15</v>
      </c>
      <c r="AG12" s="180" t="n">
        <f aca="false" ca="false" dt2D="false" dtr="false" t="normal">AF12</f>
        <v>0.15</v>
      </c>
      <c r="AH12" s="181" t="n">
        <f aca="false" ca="false" dt2D="false" dtr="false" t="normal">VLOOKUP($AF2, '2.2. МП'!$A$6:$F$21, 6, 0)</f>
        <v>4</v>
      </c>
      <c r="AI12" s="181" t="n">
        <f aca="false" ca="false" dt2D="false" dtr="false" t="normal">ROUND(AH12*AG12, 2)</f>
        <v>0.6</v>
      </c>
      <c r="AJ12" s="182" t="n"/>
      <c r="AK12" s="180" t="n">
        <v>0.15</v>
      </c>
      <c r="AL12" s="180" t="n">
        <f aca="false" ca="false" dt2D="false" dtr="false" t="normal">ROUND(AK12*100%/90%, 5)</f>
        <v>0.16667</v>
      </c>
      <c r="AM12" s="181" t="n">
        <f aca="false" ca="false" dt2D="false" dtr="false" t="normal">VLOOKUP($AK2, '2.2. МП'!$A$6:$F$21, 6, 0)</f>
        <v>4</v>
      </c>
      <c r="AN12" s="181" t="n">
        <f aca="false" ca="false" dt2D="false" dtr="false" t="normal">ROUND(AM12*AL12, 2)</f>
        <v>0.67</v>
      </c>
      <c r="AO12" s="182" t="n"/>
      <c r="AP12" s="180" t="n">
        <v>0.15</v>
      </c>
      <c r="AQ12" s="180" t="n">
        <f aca="false" ca="false" dt2D="false" dtr="false" t="normal">ROUND(AP12*100%/90%, 5)</f>
        <v>0.16667</v>
      </c>
      <c r="AR12" s="181" t="n">
        <f aca="false" ca="false" dt2D="false" dtr="false" t="normal">VLOOKUP($AP2, '2.2. МП'!$A$6:$F$21, 6, 0)</f>
        <v>4</v>
      </c>
      <c r="AS12" s="181" t="n">
        <f aca="false" ca="false" dt2D="false" dtr="false" t="normal">ROUND(AR12*AQ12, 2)</f>
        <v>0.67</v>
      </c>
      <c r="AT12" s="182" t="n"/>
      <c r="AU12" s="180" t="n">
        <v>0.15</v>
      </c>
      <c r="AV12" s="180" t="n">
        <f aca="false" ca="false" dt2D="false" dtr="false" t="normal">AU12</f>
        <v>0.15</v>
      </c>
      <c r="AW12" s="181" t="n">
        <f aca="false" ca="false" dt2D="false" dtr="false" t="normal">VLOOKUP($AU2, '2.2. МП'!$A$6:$F$21, 6, 0)</f>
        <v>4</v>
      </c>
      <c r="AX12" s="181" t="n">
        <f aca="false" ca="false" dt2D="false" dtr="false" t="normal">ROUND(AW12*AV12, 2)</f>
        <v>0.6</v>
      </c>
      <c r="AY12" s="182" t="n"/>
      <c r="AZ12" s="180" t="n">
        <v>0.15</v>
      </c>
      <c r="BA12" s="180" t="n">
        <f aca="false" ca="false" dt2D="false" dtr="false" t="normal">AZ12</f>
        <v>0.15</v>
      </c>
      <c r="BB12" s="181" t="n">
        <f aca="false" ca="false" dt2D="false" dtr="false" t="normal">VLOOKUP($AZ2, '2.2. МП'!$A$6:$F$21, 6, 0)</f>
        <v>4</v>
      </c>
      <c r="BC12" s="181" t="n">
        <f aca="false" ca="false" dt2D="false" dtr="false" t="normal">ROUND(BB12*BA12, 2)</f>
        <v>0.6</v>
      </c>
      <c r="BD12" s="182" t="n"/>
      <c r="BE12" s="180" t="n">
        <v>0.15</v>
      </c>
      <c r="BF12" s="180" t="n">
        <f aca="false" ca="false" dt2D="false" dtr="false" t="normal">BE12</f>
        <v>0.15</v>
      </c>
      <c r="BG12" s="181" t="n">
        <f aca="false" ca="false" dt2D="false" dtr="false" t="normal">VLOOKUP($BE2, '2.2. МП'!$A$6:$F$21, 6, 0)</f>
        <v>4</v>
      </c>
      <c r="BH12" s="181" t="n">
        <f aca="false" ca="false" dt2D="false" dtr="false" t="normal">ROUND(BG12*BF12, 2)</f>
        <v>0.6</v>
      </c>
      <c r="BI12" s="182" t="n"/>
      <c r="BJ12" s="180" t="n">
        <v>0.15</v>
      </c>
      <c r="BK12" s="180" t="n">
        <f aca="false" ca="false" dt2D="false" dtr="false" t="normal">BJ12</f>
        <v>0.15</v>
      </c>
      <c r="BL12" s="181" t="n">
        <f aca="false" ca="false" dt2D="false" dtr="false" t="normal">VLOOKUP($BJ2, '2.2. МП'!$A$6:$F$21, 6, 0)</f>
        <v>4</v>
      </c>
      <c r="BM12" s="181" t="n">
        <f aca="false" ca="false" dt2D="false" dtr="false" t="normal">ROUND(BL12*BK12, 2)</f>
        <v>0.6</v>
      </c>
      <c r="BN12" s="182" t="n"/>
      <c r="BO12" s="180" t="n">
        <v>0.15</v>
      </c>
      <c r="BP12" s="180" t="n">
        <f aca="false" ca="false" dt2D="false" dtr="false" t="normal">BO12</f>
        <v>0.15</v>
      </c>
      <c r="BQ12" s="181" t="n">
        <f aca="false" ca="false" dt2D="false" dtr="false" t="normal">VLOOKUP($BO2, '2.2. МП'!$A$6:$F$21, 6, 0)</f>
        <v>2</v>
      </c>
      <c r="BR12" s="181" t="n">
        <f aca="false" ca="false" dt2D="false" dtr="false" t="normal">ROUND(BQ12*BP12, 2)</f>
        <v>0.3</v>
      </c>
      <c r="BS12" s="182" t="n"/>
      <c r="BT12" s="180" t="n">
        <v>0.15</v>
      </c>
      <c r="BU12" s="180" t="n">
        <f aca="false" ca="false" dt2D="false" dtr="false" t="normal">ROUND(BT12*100%/90%, 5)</f>
        <v>0.16667</v>
      </c>
      <c r="BV12" s="181" t="n">
        <f aca="false" ca="false" dt2D="false" dtr="false" t="normal">VLOOKUP($BT2, '2.2. МП'!$A$6:$F$21, 6, 0)</f>
        <v>4</v>
      </c>
      <c r="BW12" s="181" t="n">
        <f aca="false" ca="false" dt2D="false" dtr="false" t="normal">ROUND(BV12*BU12, 2)</f>
        <v>0.67</v>
      </c>
      <c r="BX12" s="182" t="n"/>
      <c r="BY12" s="180" t="n">
        <v>0.15</v>
      </c>
      <c r="BZ12" s="180" t="n"/>
      <c r="CA12" s="181" t="n">
        <f aca="false" ca="false" dt2D="false" dtr="false" t="normal">VLOOKUP($BY2, '2.2. МП'!$A$6:$F$21, 6, 0)</f>
        <v>0</v>
      </c>
      <c r="CB12" s="181" t="n">
        <f aca="false" ca="false" dt2D="false" dtr="false" t="normal">ROUND(CA12*BZ12, 2)</f>
        <v>0</v>
      </c>
      <c r="CC12" s="182" t="n"/>
    </row>
    <row customFormat="true" ht="30" outlineLevel="0" r="13" s="189">
      <c r="A13" s="179" t="s">
        <v>111</v>
      </c>
      <c r="B13" s="180" t="n">
        <v>0.1</v>
      </c>
      <c r="C13" s="180" t="n"/>
      <c r="D13" s="181" t="n">
        <f aca="false" ca="false" dt2D="false" dtr="false" t="normal">VLOOKUP($B2, '2.3. индикат МП'!$A$6:$F$20, 6, 0)</f>
        <v>0</v>
      </c>
      <c r="E13" s="181" t="n">
        <f aca="false" ca="false" dt2D="false" dtr="false" t="normal">ROUND(D13*C13, 2)</f>
        <v>0</v>
      </c>
      <c r="F13" s="182" t="n"/>
      <c r="G13" s="180" t="n">
        <v>0.1</v>
      </c>
      <c r="H13" s="180" t="n">
        <f aca="false" ca="false" dt2D="false" dtr="false" t="normal">G13</f>
        <v>0.1</v>
      </c>
      <c r="I13" s="181" t="n">
        <f aca="false" ca="false" dt2D="false" dtr="false" t="normal">VLOOKUP($G2, '2.3. индикат МП'!$A$6:$F$20, 6, 0)</f>
        <v>4</v>
      </c>
      <c r="J13" s="181" t="n">
        <f aca="false" ca="false" dt2D="false" dtr="false" t="normal">ROUND(I13*H13, 2)</f>
        <v>0.4</v>
      </c>
      <c r="K13" s="182" t="n"/>
      <c r="L13" s="180" t="n">
        <v>0.1</v>
      </c>
      <c r="M13" s="180" t="n">
        <f aca="false" ca="false" dt2D="false" dtr="false" t="normal">L13</f>
        <v>0.1</v>
      </c>
      <c r="N13" s="181" t="n">
        <f aca="false" ca="false" dt2D="false" dtr="false" t="normal">VLOOKUP($L2, '2.3. индикат МП'!$A$6:$F$20, 6, 0)</f>
        <v>4</v>
      </c>
      <c r="O13" s="181" t="n">
        <f aca="false" ca="false" dt2D="false" dtr="false" t="normal">ROUND(N13*M13, 2)</f>
        <v>0.4</v>
      </c>
      <c r="P13" s="182" t="n"/>
      <c r="Q13" s="180" t="n">
        <v>0.1</v>
      </c>
      <c r="R13" s="180" t="n">
        <f aca="false" ca="false" dt2D="false" dtr="false" t="normal">ROUND(Q13*100%/90%, 5)</f>
        <v>0.11111</v>
      </c>
      <c r="S13" s="181" t="n">
        <f aca="false" ca="false" dt2D="false" dtr="false" t="normal">VLOOKUP($Q2, '2.3. индикат МП'!$A$6:$F$20, 6, 0)</f>
        <v>5</v>
      </c>
      <c r="T13" s="181" t="n">
        <f aca="false" ca="false" dt2D="false" dtr="false" t="normal">ROUND(S13*R13, 2)</f>
        <v>0.56</v>
      </c>
      <c r="U13" s="182" t="n"/>
      <c r="V13" s="180" t="n">
        <v>0.1</v>
      </c>
      <c r="W13" s="180" t="n">
        <f aca="false" ca="false" dt2D="false" dtr="false" t="normal">ROUND(V13*100%/90%, 5)</f>
        <v>0.11111</v>
      </c>
      <c r="X13" s="181" t="n">
        <f aca="false" ca="false" dt2D="false" dtr="false" t="normal">VLOOKUP($V2, '2.3. индикат МП'!$A$6:$F$20, 6, 0)</f>
        <v>5</v>
      </c>
      <c r="Y13" s="181" t="n">
        <f aca="false" ca="false" dt2D="false" dtr="false" t="normal">ROUND(X13*W13, 2)</f>
        <v>0.56</v>
      </c>
      <c r="Z13" s="182" t="n"/>
      <c r="AA13" s="180" t="n">
        <v>0.1</v>
      </c>
      <c r="AB13" s="180" t="n">
        <f aca="false" ca="false" dt2D="false" dtr="false" t="normal">AA13</f>
        <v>0.1</v>
      </c>
      <c r="AC13" s="181" t="n">
        <f aca="false" ca="false" dt2D="false" dtr="false" t="normal">VLOOKUP($AA2, '2.3. индикат МП'!$A$6:$F$20, 6, 0)</f>
        <v>5</v>
      </c>
      <c r="AD13" s="181" t="n">
        <f aca="false" ca="false" dt2D="false" dtr="false" t="normal">ROUND(AC13*AB13, 2)</f>
        <v>0.5</v>
      </c>
      <c r="AE13" s="182" t="n"/>
      <c r="AF13" s="180" t="n">
        <v>0.1</v>
      </c>
      <c r="AG13" s="180" t="n">
        <f aca="false" ca="false" dt2D="false" dtr="false" t="normal">AF13</f>
        <v>0.1</v>
      </c>
      <c r="AH13" s="181" t="n">
        <f aca="false" ca="false" dt2D="false" dtr="false" t="normal">VLOOKUP($AF2, '2.3. индикат МП'!$A$6:$F$20, 6, 0)</f>
        <v>5</v>
      </c>
      <c r="AI13" s="181" t="n">
        <f aca="false" ca="false" dt2D="false" dtr="false" t="normal">ROUND(AH13*AG13, 2)</f>
        <v>0.5</v>
      </c>
      <c r="AJ13" s="182" t="n"/>
      <c r="AK13" s="180" t="n">
        <v>0.1</v>
      </c>
      <c r="AL13" s="180" t="n">
        <f aca="false" ca="false" dt2D="false" dtr="false" t="normal">ROUND(AK13*100%/90%, 5)</f>
        <v>0.11111</v>
      </c>
      <c r="AM13" s="181" t="n">
        <f aca="false" ca="false" dt2D="false" dtr="false" t="normal">VLOOKUP($AK2, '2.3. индикат МП'!$A$6:$F$20, 6, 0)</f>
        <v>5</v>
      </c>
      <c r="AN13" s="181" t="n">
        <f aca="false" ca="false" dt2D="false" dtr="false" t="normal">ROUND(AM13*AL13, 2)</f>
        <v>0.56</v>
      </c>
      <c r="AO13" s="182" t="n"/>
      <c r="AP13" s="180" t="n">
        <v>0.1</v>
      </c>
      <c r="AQ13" s="180" t="n">
        <f aca="false" ca="false" dt2D="false" dtr="false" t="normal">ROUND(AP13*100%/90%, 5)</f>
        <v>0.11111</v>
      </c>
      <c r="AR13" s="181" t="n">
        <f aca="false" ca="false" dt2D="false" dtr="false" t="normal">VLOOKUP($AP2, '2.3. индикат МП'!$A$6:$F$20, 6, 0)</f>
        <v>5</v>
      </c>
      <c r="AS13" s="181" t="n">
        <f aca="false" ca="false" dt2D="false" dtr="false" t="normal">ROUND(AR13*AQ13, 2)</f>
        <v>0.56</v>
      </c>
      <c r="AT13" s="182" t="n"/>
      <c r="AU13" s="180" t="n">
        <v>0.1</v>
      </c>
      <c r="AV13" s="180" t="n">
        <f aca="false" ca="false" dt2D="false" dtr="false" t="normal">AU13</f>
        <v>0.1</v>
      </c>
      <c r="AW13" s="181" t="n">
        <f aca="false" ca="false" dt2D="false" dtr="false" t="normal">VLOOKUP($AU2, '2.3. индикат МП'!$A$6:$F$20, 6, 0)</f>
        <v>5</v>
      </c>
      <c r="AX13" s="181" t="n">
        <f aca="false" ca="false" dt2D="false" dtr="false" t="normal">ROUND(AW13*AV13, 2)</f>
        <v>0.5</v>
      </c>
      <c r="AY13" s="182" t="n"/>
      <c r="AZ13" s="180" t="n">
        <v>0.1</v>
      </c>
      <c r="BA13" s="180" t="n">
        <f aca="false" ca="false" dt2D="false" dtr="false" t="normal">AZ13</f>
        <v>0.1</v>
      </c>
      <c r="BB13" s="181" t="n">
        <f aca="false" ca="false" dt2D="false" dtr="false" t="normal">VLOOKUP($AZ2, '2.3. индикат МП'!$A$6:$F$20, 6, 0)</f>
        <v>5</v>
      </c>
      <c r="BC13" s="181" t="n">
        <f aca="false" ca="false" dt2D="false" dtr="false" t="normal">ROUND(BB13*BA13, 2)</f>
        <v>0.5</v>
      </c>
      <c r="BD13" s="182" t="n"/>
      <c r="BE13" s="180" t="n">
        <v>0.1</v>
      </c>
      <c r="BF13" s="180" t="n">
        <f aca="false" ca="false" dt2D="false" dtr="false" t="normal">BE13</f>
        <v>0.1</v>
      </c>
      <c r="BG13" s="181" t="n">
        <f aca="false" ca="false" dt2D="false" dtr="false" t="normal">VLOOKUP($BE2, '2.3. индикат МП'!$A$6:$F$20, 6, 0)</f>
        <v>4</v>
      </c>
      <c r="BH13" s="181" t="n">
        <f aca="false" ca="false" dt2D="false" dtr="false" t="normal">ROUND(BG13*BF13, 2)</f>
        <v>0.4</v>
      </c>
      <c r="BI13" s="182" t="n"/>
      <c r="BJ13" s="180" t="n">
        <v>0.1</v>
      </c>
      <c r="BK13" s="180" t="n">
        <f aca="false" ca="false" dt2D="false" dtr="false" t="normal">BJ13</f>
        <v>0.1</v>
      </c>
      <c r="BL13" s="181" t="n">
        <f aca="false" ca="false" dt2D="false" dtr="false" t="normal">VLOOKUP($BJ2, '2.3. индикат МП'!$A$6:$F$20, 6, 0)</f>
        <v>5</v>
      </c>
      <c r="BM13" s="181" t="n">
        <f aca="false" ca="false" dt2D="false" dtr="false" t="normal">ROUND(BL13*BK13, 2)</f>
        <v>0.5</v>
      </c>
      <c r="BN13" s="182" t="n"/>
      <c r="BO13" s="180" t="n">
        <v>0.1</v>
      </c>
      <c r="BP13" s="180" t="n">
        <f aca="false" ca="false" dt2D="false" dtr="false" t="normal">BO13</f>
        <v>0.1</v>
      </c>
      <c r="BQ13" s="181" t="n">
        <f aca="false" ca="false" dt2D="false" dtr="false" t="normal">VLOOKUP($BO2, '2.3. индикат МП'!$A$6:$F$20, 6, 0)</f>
        <v>5</v>
      </c>
      <c r="BR13" s="181" t="n">
        <f aca="false" ca="false" dt2D="false" dtr="false" t="normal">ROUND(BQ13*BP13, 2)</f>
        <v>0.5</v>
      </c>
      <c r="BS13" s="182" t="n"/>
      <c r="BT13" s="180" t="n">
        <v>0.1</v>
      </c>
      <c r="BU13" s="180" t="n">
        <f aca="false" ca="false" dt2D="false" dtr="false" t="normal">ROUND(BT13*100%/90%, 5)</f>
        <v>0.11111</v>
      </c>
      <c r="BV13" s="181" t="n">
        <f aca="false" ca="false" dt2D="false" dtr="false" t="normal">VLOOKUP($BT2, '2.3. индикат МП'!$A$6:$F$20, 6, 0)</f>
        <v>5</v>
      </c>
      <c r="BW13" s="181" t="n">
        <f aca="false" ca="false" dt2D="false" dtr="false" t="normal">ROUND(BV13*BU13, 2)</f>
        <v>0.56</v>
      </c>
      <c r="BX13" s="182" t="n"/>
      <c r="BY13" s="180" t="n">
        <v>0.1</v>
      </c>
      <c r="BZ13" s="180" t="n"/>
      <c r="CA13" s="181" t="n">
        <f aca="false" ca="false" dt2D="false" dtr="false" t="normal">VLOOKUP($BY2, '2.3. индикат МП'!$A$6:$F$21, 6, 0)</f>
        <v>0</v>
      </c>
      <c r="CB13" s="181" t="n">
        <f aca="false" ca="false" dt2D="false" dtr="false" t="normal">ROUND(CA13*BZ13, 2)</f>
        <v>0</v>
      </c>
      <c r="CC13" s="182" t="n"/>
    </row>
    <row customFormat="true" ht="45" outlineLevel="0" r="14" s="189">
      <c r="A14" s="179" t="s">
        <v>112</v>
      </c>
      <c r="B14" s="180" t="n">
        <v>0.1</v>
      </c>
      <c r="C14" s="180" t="n"/>
      <c r="D14" s="181" t="n"/>
      <c r="E14" s="181" t="n"/>
      <c r="F14" s="182" t="n"/>
      <c r="G14" s="180" t="n">
        <v>0.1</v>
      </c>
      <c r="H14" s="180" t="n">
        <f aca="false" ca="false" dt2D="false" dtr="false" t="normal">G14</f>
        <v>0.1</v>
      </c>
      <c r="I14" s="181" t="n">
        <f aca="false" ca="false" dt2D="false" dtr="false" t="normal">VLOOKUP($L2, '2.4. обяз-ва по соглаш'!$A$6:$E$21, 5, 0)</f>
        <v>5</v>
      </c>
      <c r="J14" s="181" t="n"/>
      <c r="K14" s="182" t="n"/>
      <c r="L14" s="180" t="n">
        <v>0.1</v>
      </c>
      <c r="M14" s="180" t="n">
        <f aca="false" ca="false" dt2D="false" dtr="false" t="normal">L14</f>
        <v>0.1</v>
      </c>
      <c r="N14" s="181" t="n">
        <f aca="false" ca="false" dt2D="false" dtr="false" t="normal">VLOOKUP($L2, '2.4. обяз-ва по соглаш'!$A$6:$E$21, 5, 0)</f>
        <v>5</v>
      </c>
      <c r="O14" s="181" t="n">
        <f aca="false" ca="false" dt2D="false" dtr="false" t="normal">ROUND(N14*M14, 2)</f>
        <v>0.5</v>
      </c>
      <c r="P14" s="182" t="n"/>
      <c r="Q14" s="180" t="n">
        <v>0.1</v>
      </c>
      <c r="R14" s="180" t="n"/>
      <c r="S14" s="181" t="n">
        <f aca="false" ca="false" dt2D="false" dtr="false" t="normal">VLOOKUP($Q2, '2.4. обяз-ва по соглаш'!$A$6:$E$21, 5, 0)</f>
        <v>0</v>
      </c>
      <c r="T14" s="181" t="n"/>
      <c r="U14" s="182" t="n"/>
      <c r="V14" s="180" t="n">
        <v>0.1</v>
      </c>
      <c r="W14" s="180" t="n"/>
      <c r="X14" s="181" t="n">
        <f aca="false" ca="false" dt2D="false" dtr="false" t="normal">VLOOKUP($V2, '2.4. обяз-ва по соглаш'!$A$6:$E$21, 5, 0)</f>
        <v>0</v>
      </c>
      <c r="Y14" s="181" t="n"/>
      <c r="Z14" s="182" t="n"/>
      <c r="AA14" s="180" t="n">
        <v>0.1</v>
      </c>
      <c r="AB14" s="180" t="n">
        <f aca="false" ca="false" dt2D="false" dtr="false" t="normal">AA14</f>
        <v>0.1</v>
      </c>
      <c r="AC14" s="181" t="n">
        <f aca="false" ca="false" dt2D="false" dtr="false" t="normal">VLOOKUP($AA2, '2.4. обяз-ва по соглаш'!$A$6:$E$21, 5, 0)</f>
        <v>5</v>
      </c>
      <c r="AD14" s="181" t="n">
        <f aca="false" ca="false" dt2D="false" dtr="false" t="normal">ROUND(AC14*AB14, 2)</f>
        <v>0.5</v>
      </c>
      <c r="AE14" s="182" t="n"/>
      <c r="AF14" s="180" t="n">
        <v>0.1</v>
      </c>
      <c r="AG14" s="180" t="n">
        <f aca="false" ca="false" dt2D="false" dtr="false" t="normal">AF14</f>
        <v>0.1</v>
      </c>
      <c r="AH14" s="181" t="n">
        <f aca="false" ca="false" dt2D="false" dtr="false" t="normal">VLOOKUP($AF2, '2.4. обяз-ва по соглаш'!$A$6:$E$21, 5, 0)</f>
        <v>5</v>
      </c>
      <c r="AI14" s="181" t="n">
        <f aca="false" ca="false" dt2D="false" dtr="false" t="normal">ROUND(AH14*AG14, 2)</f>
        <v>0.5</v>
      </c>
      <c r="AJ14" s="182" t="n"/>
      <c r="AK14" s="180" t="n">
        <v>0.1</v>
      </c>
      <c r="AL14" s="180" t="n"/>
      <c r="AM14" s="181" t="n">
        <f aca="false" ca="false" dt2D="false" dtr="false" t="normal">VLOOKUP($AK2, '2.4. обяз-ва по соглаш'!$A$6:$E$21, 5, 0)</f>
        <v>0</v>
      </c>
      <c r="AN14" s="181" t="n"/>
      <c r="AO14" s="182" t="n"/>
      <c r="AP14" s="180" t="n">
        <v>0.1</v>
      </c>
      <c r="AQ14" s="180" t="n"/>
      <c r="AR14" s="181" t="n"/>
      <c r="AS14" s="181" t="n"/>
      <c r="AT14" s="182" t="n"/>
      <c r="AU14" s="180" t="n">
        <v>0.1</v>
      </c>
      <c r="AV14" s="180" t="n">
        <f aca="false" ca="false" dt2D="false" dtr="false" t="normal">AU14</f>
        <v>0.1</v>
      </c>
      <c r="AW14" s="181" t="n">
        <f aca="false" ca="false" dt2D="false" dtr="false" t="normal">VLOOKUP($AU2, '2.4. обяз-ва по соглаш'!$A$6:$E$21, 5, 0)</f>
        <v>5</v>
      </c>
      <c r="AX14" s="181" t="n">
        <f aca="false" ca="false" dt2D="false" dtr="false" t="normal">ROUND(AW14*AV14, 2)</f>
        <v>0.5</v>
      </c>
      <c r="AY14" s="182" t="n"/>
      <c r="AZ14" s="180" t="n">
        <v>0.1</v>
      </c>
      <c r="BA14" s="180" t="n">
        <f aca="false" ca="false" dt2D="false" dtr="false" t="normal">AZ14</f>
        <v>0.1</v>
      </c>
      <c r="BB14" s="181" t="n">
        <f aca="false" ca="false" dt2D="false" dtr="false" t="normal">VLOOKUP($AZ2, '2.4. обяз-ва по соглаш'!$A$6:$E$21, 5, 0)</f>
        <v>5</v>
      </c>
      <c r="BC14" s="181" t="n">
        <f aca="false" ca="false" dt2D="false" dtr="false" t="normal">ROUND(BB14*BA14, 2)</f>
        <v>0.5</v>
      </c>
      <c r="BD14" s="182" t="n"/>
      <c r="BE14" s="180" t="n">
        <v>0.1</v>
      </c>
      <c r="BF14" s="180" t="n">
        <f aca="false" ca="false" dt2D="false" dtr="false" t="normal">BE14</f>
        <v>0.1</v>
      </c>
      <c r="BG14" s="181" t="n">
        <f aca="false" ca="false" dt2D="false" dtr="false" t="normal">VLOOKUP($BE2, '2.4. обяз-ва по соглаш'!$A$6:$E$21, 5, 0)</f>
        <v>5</v>
      </c>
      <c r="BH14" s="181" t="n">
        <f aca="false" ca="false" dt2D="false" dtr="false" t="normal">ROUND(BG14*BF14, 2)</f>
        <v>0.5</v>
      </c>
      <c r="BI14" s="182" t="n"/>
      <c r="BJ14" s="180" t="n">
        <v>0.1</v>
      </c>
      <c r="BK14" s="180" t="n">
        <f aca="false" ca="false" dt2D="false" dtr="false" t="normal">BJ14</f>
        <v>0.1</v>
      </c>
      <c r="BL14" s="181" t="n">
        <f aca="false" ca="false" dt2D="false" dtr="false" t="normal">VLOOKUP($BJ2, '2.4. обяз-ва по соглаш'!$A$6:$E$21, 5, 0)</f>
        <v>5</v>
      </c>
      <c r="BM14" s="181" t="n">
        <f aca="false" ca="false" dt2D="false" dtr="false" t="normal">ROUND(BL14*BK14, 2)</f>
        <v>0.5</v>
      </c>
      <c r="BN14" s="182" t="n"/>
      <c r="BO14" s="180" t="n">
        <v>0.1</v>
      </c>
      <c r="BP14" s="180" t="n">
        <f aca="false" ca="false" dt2D="false" dtr="false" t="normal">BO14</f>
        <v>0.1</v>
      </c>
      <c r="BQ14" s="181" t="n">
        <f aca="false" ca="false" dt2D="false" dtr="false" t="normal">VLOOKUP($BO2, '2.4. обяз-ва по соглаш'!$A$6:$E$21, 5, 0)</f>
        <v>5</v>
      </c>
      <c r="BR14" s="181" t="n">
        <f aca="false" ca="false" dt2D="false" dtr="false" t="normal">ROUND(BQ14*BP14, 2)</f>
        <v>0.5</v>
      </c>
      <c r="BS14" s="182" t="n"/>
      <c r="BT14" s="180" t="n">
        <v>0.1</v>
      </c>
      <c r="BU14" s="180" t="n"/>
      <c r="BV14" s="181" t="n"/>
      <c r="BW14" s="181" t="n"/>
      <c r="BX14" s="182" t="n"/>
      <c r="BY14" s="180" t="n">
        <v>0.1</v>
      </c>
      <c r="BZ14" s="180" t="n"/>
      <c r="CA14" s="181" t="n"/>
      <c r="CB14" s="181" t="n"/>
      <c r="CC14" s="182" t="n"/>
    </row>
    <row customFormat="true" ht="30" outlineLevel="0" r="15" s="188">
      <c r="A15" s="179" t="s">
        <v>113</v>
      </c>
      <c r="B15" s="180" t="n">
        <v>0.1</v>
      </c>
      <c r="C15" s="180" t="n">
        <f aca="false" ca="false" dt2D="false" dtr="false" t="normal">ROUND(B15*100%/65%, 5)</f>
        <v>0.15385</v>
      </c>
      <c r="D15" s="181" t="n">
        <f aca="false" ca="false" dt2D="false" dtr="false" t="normal">VLOOKUP($B2, '2.5. кред плат в бюдж'!$A$6:$F$21, 6, 0)</f>
        <v>5</v>
      </c>
      <c r="E15" s="181" t="n">
        <f aca="false" ca="false" dt2D="false" dtr="false" t="normal">ROUND(D15*C15, 2)</f>
        <v>0.77</v>
      </c>
      <c r="F15" s="182" t="n"/>
      <c r="G15" s="180" t="n">
        <v>0.1</v>
      </c>
      <c r="H15" s="180" t="n">
        <f aca="false" ca="false" dt2D="false" dtr="false" t="normal">G15</f>
        <v>0.1</v>
      </c>
      <c r="I15" s="181" t="n">
        <f aca="false" ca="false" dt2D="false" dtr="false" t="normal">VLOOKUP($G2, '2.5. кред плат в бюдж'!$A$6:$F$21, 6, 0)</f>
        <v>5</v>
      </c>
      <c r="J15" s="181" t="n">
        <f aca="false" ca="false" dt2D="false" dtr="false" t="normal">ROUND(I15*H15, 2)</f>
        <v>0.5</v>
      </c>
      <c r="K15" s="182" t="n"/>
      <c r="L15" s="180" t="n">
        <v>0.1</v>
      </c>
      <c r="M15" s="180" t="n">
        <f aca="false" ca="false" dt2D="false" dtr="false" t="normal">L15</f>
        <v>0.1</v>
      </c>
      <c r="N15" s="181" t="n">
        <f aca="false" ca="false" dt2D="false" dtr="false" t="normal">VLOOKUP($L2, '2.5. кред плат в бюдж'!$A$6:$F$21, 6, 0)</f>
        <v>5</v>
      </c>
      <c r="O15" s="181" t="n">
        <f aca="false" ca="false" dt2D="false" dtr="false" t="normal">ROUND(N15*M15, 2)</f>
        <v>0.5</v>
      </c>
      <c r="P15" s="182" t="n"/>
      <c r="Q15" s="180" t="n">
        <v>0.1</v>
      </c>
      <c r="R15" s="180" t="n">
        <f aca="false" ca="false" dt2D="false" dtr="false" t="normal">ROUND(Q15*100%/90%, 5)</f>
        <v>0.11111</v>
      </c>
      <c r="S15" s="181" t="n">
        <f aca="false" ca="false" dt2D="false" dtr="false" t="normal">VLOOKUP($Q2, '2.5. кред плат в бюдж'!$A$6:$F$21, 6, 0)</f>
        <v>5</v>
      </c>
      <c r="T15" s="181" t="n">
        <f aca="false" ca="false" dt2D="false" dtr="false" t="normal">ROUND(S15*R15, 2)</f>
        <v>0.56</v>
      </c>
      <c r="U15" s="182" t="n"/>
      <c r="V15" s="180" t="n">
        <v>0.1</v>
      </c>
      <c r="W15" s="180" t="n">
        <f aca="false" ca="false" dt2D="false" dtr="false" t="normal">ROUND(V15*100%/90%, 5)</f>
        <v>0.11111</v>
      </c>
      <c r="X15" s="181" t="n">
        <f aca="false" ca="false" dt2D="false" dtr="false" t="normal">VLOOKUP($V2, '2.5. кред плат в бюдж'!$A$6:$F$21, 6, 0)</f>
        <v>5</v>
      </c>
      <c r="Y15" s="181" t="n">
        <f aca="false" ca="false" dt2D="false" dtr="false" t="normal">ROUND(X15*W15, 2)</f>
        <v>0.56</v>
      </c>
      <c r="Z15" s="182" t="n"/>
      <c r="AA15" s="180" t="n">
        <v>0.1</v>
      </c>
      <c r="AB15" s="180" t="n">
        <f aca="false" ca="false" dt2D="false" dtr="false" t="normal">AA15</f>
        <v>0.1</v>
      </c>
      <c r="AC15" s="181" t="n">
        <f aca="false" ca="false" dt2D="false" dtr="false" t="normal">VLOOKUP($AA2, '2.5. кред плат в бюдж'!$A$6:$F$21, 6, 0)</f>
        <v>5</v>
      </c>
      <c r="AD15" s="181" t="n">
        <f aca="false" ca="false" dt2D="false" dtr="false" t="normal">ROUND(AC15*AB15, 2)</f>
        <v>0.5</v>
      </c>
      <c r="AE15" s="182" t="n"/>
      <c r="AF15" s="180" t="n">
        <v>0.1</v>
      </c>
      <c r="AG15" s="180" t="n">
        <f aca="false" ca="false" dt2D="false" dtr="false" t="normal">AF15</f>
        <v>0.1</v>
      </c>
      <c r="AH15" s="181" t="n">
        <f aca="false" ca="false" dt2D="false" dtr="false" t="normal">VLOOKUP($AF2, '2.5. кред плат в бюдж'!$A$6:$F$21, 6, 0)</f>
        <v>5</v>
      </c>
      <c r="AI15" s="181" t="n">
        <f aca="false" ca="false" dt2D="false" dtr="false" t="normal">ROUND(AH15*AG15, 2)</f>
        <v>0.5</v>
      </c>
      <c r="AJ15" s="182" t="n"/>
      <c r="AK15" s="180" t="n">
        <v>0.1</v>
      </c>
      <c r="AL15" s="180" t="n">
        <f aca="false" ca="false" dt2D="false" dtr="false" t="normal">ROUND(AK15*100%/90%, 5)</f>
        <v>0.11111</v>
      </c>
      <c r="AM15" s="181" t="n">
        <f aca="false" ca="false" dt2D="false" dtr="false" t="normal">VLOOKUP($AK2, '2.5. кред плат в бюдж'!$A$6:$F$21, 6, 0)</f>
        <v>5</v>
      </c>
      <c r="AN15" s="181" t="n">
        <f aca="false" ca="false" dt2D="false" dtr="false" t="normal">ROUND(AM15*AL15, 2)</f>
        <v>0.56</v>
      </c>
      <c r="AO15" s="182" t="n"/>
      <c r="AP15" s="180" t="n">
        <v>0.1</v>
      </c>
      <c r="AQ15" s="180" t="n">
        <f aca="false" ca="false" dt2D="false" dtr="false" t="normal">ROUND(AP15*100%/90%, 5)</f>
        <v>0.11111</v>
      </c>
      <c r="AR15" s="181" t="n">
        <f aca="false" ca="false" dt2D="false" dtr="false" t="normal">VLOOKUP($AP2, '2.5. кред плат в бюдж'!$A$6:$F$21, 6, 0)</f>
        <v>5</v>
      </c>
      <c r="AS15" s="181" t="n">
        <f aca="false" ca="false" dt2D="false" dtr="false" t="normal">ROUND(AR15*AQ15, 2)</f>
        <v>0.56</v>
      </c>
      <c r="AT15" s="182" t="n"/>
      <c r="AU15" s="180" t="n">
        <v>0.1</v>
      </c>
      <c r="AV15" s="180" t="n">
        <f aca="false" ca="false" dt2D="false" dtr="false" t="normal">AU15</f>
        <v>0.1</v>
      </c>
      <c r="AW15" s="181" t="n">
        <f aca="false" ca="false" dt2D="false" dtr="false" t="normal">VLOOKUP($AU2, '2.5. кред плат в бюдж'!$A$6:$F$21, 6, 0)</f>
        <v>5</v>
      </c>
      <c r="AX15" s="181" t="n">
        <f aca="false" ca="false" dt2D="false" dtr="false" t="normal">ROUND(AW15*AV15, 2)</f>
        <v>0.5</v>
      </c>
      <c r="AY15" s="182" t="n"/>
      <c r="AZ15" s="180" t="n">
        <v>0.1</v>
      </c>
      <c r="BA15" s="180" t="n">
        <f aca="false" ca="false" dt2D="false" dtr="false" t="normal">AZ15</f>
        <v>0.1</v>
      </c>
      <c r="BB15" s="181" t="n">
        <f aca="false" ca="false" dt2D="false" dtr="false" t="normal">VLOOKUP($AZ2, '2.5. кред плат в бюдж'!$A$6:$F$21, 6, 0)</f>
        <v>5</v>
      </c>
      <c r="BC15" s="181" t="n">
        <f aca="false" ca="false" dt2D="false" dtr="false" t="normal">ROUND(BB15*BA15, 2)</f>
        <v>0.5</v>
      </c>
      <c r="BD15" s="182" t="n"/>
      <c r="BE15" s="180" t="n">
        <v>0.1</v>
      </c>
      <c r="BF15" s="180" t="n">
        <f aca="false" ca="false" dt2D="false" dtr="false" t="normal">BE15</f>
        <v>0.1</v>
      </c>
      <c r="BG15" s="181" t="n">
        <f aca="false" ca="false" dt2D="false" dtr="false" t="normal">VLOOKUP($BE2, '2.5. кред плат в бюдж'!$A$6:$F$21, 6, 0)</f>
        <v>5</v>
      </c>
      <c r="BH15" s="181" t="n">
        <f aca="false" ca="false" dt2D="false" dtr="false" t="normal">ROUND(BG15*BF15, 2)</f>
        <v>0.5</v>
      </c>
      <c r="BI15" s="182" t="n"/>
      <c r="BJ15" s="180" t="n">
        <v>0.1</v>
      </c>
      <c r="BK15" s="180" t="n">
        <f aca="false" ca="false" dt2D="false" dtr="false" t="normal">BJ15</f>
        <v>0.1</v>
      </c>
      <c r="BL15" s="181" t="n">
        <f aca="false" ca="false" dt2D="false" dtr="false" t="normal">VLOOKUP($BJ2, '2.5. кред плат в бюдж'!$A$6:$F$21, 6, 0)</f>
        <v>5</v>
      </c>
      <c r="BM15" s="181" t="n">
        <f aca="false" ca="false" dt2D="false" dtr="false" t="normal">ROUND(BL15*BK15, 2)</f>
        <v>0.5</v>
      </c>
      <c r="BN15" s="182" t="n"/>
      <c r="BO15" s="180" t="n">
        <v>0.1</v>
      </c>
      <c r="BP15" s="180" t="n">
        <f aca="false" ca="false" dt2D="false" dtr="false" t="normal">BO15</f>
        <v>0.1</v>
      </c>
      <c r="BQ15" s="181" t="n">
        <f aca="false" ca="false" dt2D="false" dtr="false" t="normal">VLOOKUP($BO2, '2.5. кред плат в бюдж'!$A$6:$F$21, 6, 0)</f>
        <v>5</v>
      </c>
      <c r="BR15" s="181" t="n">
        <f aca="false" ca="false" dt2D="false" dtr="false" t="normal">ROUND(BQ15*BP15, 2)</f>
        <v>0.5</v>
      </c>
      <c r="BS15" s="182" t="n"/>
      <c r="BT15" s="180" t="n">
        <v>0.1</v>
      </c>
      <c r="BU15" s="180" t="n">
        <f aca="false" ca="false" dt2D="false" dtr="false" t="normal">ROUND(BT15*100%/90%, 5)</f>
        <v>0.11111</v>
      </c>
      <c r="BV15" s="181" t="n">
        <f aca="false" ca="false" dt2D="false" dtr="false" t="normal">VLOOKUP($BT2, '2.5. кред плат в бюдж'!$A$6:$F$21, 6, 0)</f>
        <v>5</v>
      </c>
      <c r="BW15" s="181" t="n">
        <f aca="false" ca="false" dt2D="false" dtr="false" t="normal">ROUND(BV15*BU15, 2)</f>
        <v>0.56</v>
      </c>
      <c r="BX15" s="182" t="n"/>
      <c r="BY15" s="180" t="n">
        <v>0.1</v>
      </c>
      <c r="BZ15" s="180" t="n">
        <f aca="false" ca="false" dt2D="false" dtr="false" t="normal">ROUND(BY15*100%/65%, 5)</f>
        <v>0.15385</v>
      </c>
      <c r="CA15" s="181" t="n">
        <f aca="false" ca="false" dt2D="false" dtr="false" t="normal">VLOOKUP($BY2, '2.5. кред плат в бюдж'!$A$6:$F$21, 6, 0)</f>
        <v>5</v>
      </c>
      <c r="CB15" s="181" t="n">
        <f aca="false" ca="false" dt2D="false" dtr="false" t="normal">ROUND(CA15*BZ15, 2)</f>
        <v>0.77</v>
      </c>
      <c r="CC15" s="182" t="n"/>
    </row>
    <row customFormat="true" ht="45" outlineLevel="0" r="16" s="189">
      <c r="A16" s="179" t="s">
        <v>114</v>
      </c>
      <c r="B16" s="180" t="n">
        <v>0.1</v>
      </c>
      <c r="C16" s="180" t="n">
        <f aca="false" ca="false" dt2D="false" dtr="false" t="normal">ROUND(B16*100%/65%, 5)</f>
        <v>0.15385</v>
      </c>
      <c r="D16" s="181" t="n">
        <f aca="false" ca="false" dt2D="false" dtr="false" t="normal">VLOOKUP($B2, '2.6. кред по расч с пост'!$A$6:$F$21, 6, 0)</f>
        <v>5</v>
      </c>
      <c r="E16" s="181" t="n">
        <f aca="false" ca="false" dt2D="false" dtr="false" t="normal">ROUND(D16*C16, 2)</f>
        <v>0.77</v>
      </c>
      <c r="F16" s="182" t="n"/>
      <c r="G16" s="180" t="n">
        <v>0.1</v>
      </c>
      <c r="H16" s="180" t="n">
        <f aca="false" ca="false" dt2D="false" dtr="false" t="normal">G16</f>
        <v>0.1</v>
      </c>
      <c r="I16" s="181" t="n">
        <f aca="false" ca="false" dt2D="false" dtr="false" t="normal">VLOOKUP($G2, '2.6. кред по расч с пост'!$A$6:$F$21, 6, 0)</f>
        <v>5</v>
      </c>
      <c r="J16" s="181" t="n">
        <f aca="false" ca="false" dt2D="false" dtr="false" t="normal">ROUND(I16*H16, 2)</f>
        <v>0.5</v>
      </c>
      <c r="K16" s="182" t="n"/>
      <c r="L16" s="180" t="n">
        <v>0.1</v>
      </c>
      <c r="M16" s="180" t="n">
        <f aca="false" ca="false" dt2D="false" dtr="false" t="normal">L16</f>
        <v>0.1</v>
      </c>
      <c r="N16" s="181" t="n">
        <f aca="false" ca="false" dt2D="false" dtr="false" t="normal">VLOOKUP($L2, '2.6. кред по расч с пост'!$A$6:$F$21, 6, 0)</f>
        <v>1</v>
      </c>
      <c r="O16" s="181" t="n">
        <f aca="false" ca="false" dt2D="false" dtr="false" t="normal">ROUND(N16*M16, 2)</f>
        <v>0.1</v>
      </c>
      <c r="P16" s="182" t="n"/>
      <c r="Q16" s="180" t="n">
        <v>0.1</v>
      </c>
      <c r="R16" s="180" t="n">
        <f aca="false" ca="false" dt2D="false" dtr="false" t="normal">ROUND(Q16*100%/90%, 5)</f>
        <v>0.11111</v>
      </c>
      <c r="S16" s="181" t="n">
        <f aca="false" ca="false" dt2D="false" dtr="false" t="normal">VLOOKUP($Q2, '2.6. кред по расч с пост'!$A$6:$F$21, 6, 0)</f>
        <v>5</v>
      </c>
      <c r="T16" s="181" t="n">
        <f aca="false" ca="false" dt2D="false" dtr="false" t="normal">ROUND(S16*R16, 2)</f>
        <v>0.56</v>
      </c>
      <c r="U16" s="182" t="n"/>
      <c r="V16" s="180" t="n">
        <v>0.1</v>
      </c>
      <c r="W16" s="180" t="n">
        <f aca="false" ca="false" dt2D="false" dtr="false" t="normal">ROUND(V16*100%/90%, 5)</f>
        <v>0.11111</v>
      </c>
      <c r="X16" s="181" t="n">
        <f aca="false" ca="false" dt2D="false" dtr="false" t="normal">VLOOKUP($V2, '2.6. кред по расч с пост'!$A$6:$F$21, 6, 0)</f>
        <v>5</v>
      </c>
      <c r="Y16" s="181" t="n">
        <f aca="false" ca="false" dt2D="false" dtr="false" t="normal">ROUND(X16*W16, 2)</f>
        <v>0.56</v>
      </c>
      <c r="Z16" s="182" t="n"/>
      <c r="AA16" s="180" t="n">
        <v>0.1</v>
      </c>
      <c r="AB16" s="180" t="n">
        <f aca="false" ca="false" dt2D="false" dtr="false" t="normal">AA16</f>
        <v>0.1</v>
      </c>
      <c r="AC16" s="181" t="n">
        <f aca="false" ca="false" dt2D="false" dtr="false" t="normal">VLOOKUP($AA2, '2.6. кред по расч с пост'!$A$6:$F$21, 6, 0)</f>
        <v>5</v>
      </c>
      <c r="AD16" s="181" t="n">
        <f aca="false" ca="false" dt2D="false" dtr="false" t="normal">ROUND(AC16*AB16, 2)</f>
        <v>0.5</v>
      </c>
      <c r="AE16" s="182" t="n"/>
      <c r="AF16" s="180" t="n">
        <v>0.1</v>
      </c>
      <c r="AG16" s="180" t="n">
        <f aca="false" ca="false" dt2D="false" dtr="false" t="normal">AF16</f>
        <v>0.1</v>
      </c>
      <c r="AH16" s="181" t="n">
        <f aca="false" ca="false" dt2D="false" dtr="false" t="normal">VLOOKUP($AF2, '2.6. кред по расч с пост'!$A$6:$F$21, 6, 0)</f>
        <v>5</v>
      </c>
      <c r="AI16" s="181" t="n">
        <f aca="false" ca="false" dt2D="false" dtr="false" t="normal">ROUND(AH16*AG16, 2)</f>
        <v>0.5</v>
      </c>
      <c r="AJ16" s="182" t="n"/>
      <c r="AK16" s="180" t="n">
        <v>0.1</v>
      </c>
      <c r="AL16" s="180" t="n">
        <f aca="false" ca="false" dt2D="false" dtr="false" t="normal">ROUND(AK16*100%/90%, 5)</f>
        <v>0.11111</v>
      </c>
      <c r="AM16" s="181" t="n">
        <f aca="false" ca="false" dt2D="false" dtr="false" t="normal">VLOOKUP($AK2, '2.6. кред по расч с пост'!$A$6:$F$21, 6, 0)</f>
        <v>5</v>
      </c>
      <c r="AN16" s="181" t="n">
        <f aca="false" ca="false" dt2D="false" dtr="false" t="normal">ROUND(AM16*AL16, 2)</f>
        <v>0.56</v>
      </c>
      <c r="AO16" s="182" t="n"/>
      <c r="AP16" s="180" t="n">
        <v>0.1</v>
      </c>
      <c r="AQ16" s="180" t="n">
        <f aca="false" ca="false" dt2D="false" dtr="false" t="normal">ROUND(AP16*100%/90%, 5)</f>
        <v>0.11111</v>
      </c>
      <c r="AR16" s="181" t="n">
        <f aca="false" ca="false" dt2D="false" dtr="false" t="normal">VLOOKUP($AP2, '2.6. кред по расч с пост'!$A$6:$F$21, 6, 0)</f>
        <v>5</v>
      </c>
      <c r="AS16" s="181" t="n">
        <f aca="false" ca="false" dt2D="false" dtr="false" t="normal">ROUND(AR16*AQ16, 2)</f>
        <v>0.56</v>
      </c>
      <c r="AT16" s="182" t="n"/>
      <c r="AU16" s="180" t="n">
        <v>0.1</v>
      </c>
      <c r="AV16" s="180" t="n">
        <f aca="false" ca="false" dt2D="false" dtr="false" t="normal">AU16</f>
        <v>0.1</v>
      </c>
      <c r="AW16" s="181" t="n">
        <f aca="false" ca="false" dt2D="false" dtr="false" t="normal">VLOOKUP($AU2, '2.6. кред по расч с пост'!$A$6:$F$21, 6, 0)</f>
        <v>5</v>
      </c>
      <c r="AX16" s="181" t="n">
        <f aca="false" ca="false" dt2D="false" dtr="false" t="normal">ROUND(AW16*AV16, 2)</f>
        <v>0.5</v>
      </c>
      <c r="AY16" s="182" t="n"/>
      <c r="AZ16" s="180" t="n">
        <v>0.1</v>
      </c>
      <c r="BA16" s="180" t="n">
        <f aca="false" ca="false" dt2D="false" dtr="false" t="normal">AZ16</f>
        <v>0.1</v>
      </c>
      <c r="BB16" s="181" t="n">
        <f aca="false" ca="false" dt2D="false" dtr="false" t="normal">VLOOKUP($AZ2, '2.6. кред по расч с пост'!$A$6:$F$21, 6, 0)</f>
        <v>5</v>
      </c>
      <c r="BC16" s="181" t="n">
        <f aca="false" ca="false" dt2D="false" dtr="false" t="normal">ROUND(BB16*BA16, 2)</f>
        <v>0.5</v>
      </c>
      <c r="BD16" s="182" t="n"/>
      <c r="BE16" s="180" t="n">
        <v>0.1</v>
      </c>
      <c r="BF16" s="180" t="n">
        <f aca="false" ca="false" dt2D="false" dtr="false" t="normal">BE16</f>
        <v>0.1</v>
      </c>
      <c r="BG16" s="181" t="n">
        <f aca="false" ca="false" dt2D="false" dtr="false" t="normal">VLOOKUP($BE2, '2.6. кред по расч с пост'!$A$6:$F$21, 6, 0)</f>
        <v>3</v>
      </c>
      <c r="BH16" s="181" t="n">
        <f aca="false" ca="false" dt2D="false" dtr="false" t="normal">ROUND(BG16*BF16, 2)</f>
        <v>0.3</v>
      </c>
      <c r="BI16" s="182" t="n"/>
      <c r="BJ16" s="180" t="n">
        <v>0.1</v>
      </c>
      <c r="BK16" s="180" t="n">
        <f aca="false" ca="false" dt2D="false" dtr="false" t="normal">BJ16</f>
        <v>0.1</v>
      </c>
      <c r="BL16" s="181" t="n">
        <f aca="false" ca="false" dt2D="false" dtr="false" t="normal">VLOOKUP($BJ2, '2.6. кред по расч с пост'!$A$6:$F$21, 6, 0)</f>
        <v>5</v>
      </c>
      <c r="BM16" s="181" t="n">
        <f aca="false" ca="false" dt2D="false" dtr="false" t="normal">ROUND(BL16*BK16, 2)</f>
        <v>0.5</v>
      </c>
      <c r="BN16" s="182" t="n"/>
      <c r="BO16" s="180" t="n">
        <v>0.1</v>
      </c>
      <c r="BP16" s="180" t="n">
        <f aca="false" ca="false" dt2D="false" dtr="false" t="normal">BO16</f>
        <v>0.1</v>
      </c>
      <c r="BQ16" s="181" t="n">
        <f aca="false" ca="false" dt2D="false" dtr="false" t="normal">VLOOKUP($BO2, '2.6. кред по расч с пост'!$A$6:$F$21, 6, 0)</f>
        <v>5</v>
      </c>
      <c r="BR16" s="181" t="n">
        <f aca="false" ca="false" dt2D="false" dtr="false" t="normal">ROUND(BQ16*BP16, 2)</f>
        <v>0.5</v>
      </c>
      <c r="BS16" s="182" t="n"/>
      <c r="BT16" s="180" t="n">
        <v>0.1</v>
      </c>
      <c r="BU16" s="180" t="n">
        <f aca="false" ca="false" dt2D="false" dtr="false" t="normal">ROUND(BT16*100%/90%, 5)</f>
        <v>0.11111</v>
      </c>
      <c r="BV16" s="181" t="n">
        <f aca="false" ca="false" dt2D="false" dtr="false" t="normal">VLOOKUP($BT2, '2.6. кред по расч с пост'!$A$6:$F$21, 6, 0)</f>
        <v>5</v>
      </c>
      <c r="BW16" s="181" t="n">
        <f aca="false" ca="false" dt2D="false" dtr="false" t="normal">ROUND(BV16*BU16, 2)</f>
        <v>0.56</v>
      </c>
      <c r="BX16" s="182" t="n"/>
      <c r="BY16" s="180" t="n">
        <v>0.1</v>
      </c>
      <c r="BZ16" s="180" t="n">
        <f aca="false" ca="false" dt2D="false" dtr="false" t="normal">ROUND(BY16*100%/65%, 5)</f>
        <v>0.15385</v>
      </c>
      <c r="CA16" s="181" t="n">
        <f aca="false" ca="false" dt2D="false" dtr="false" t="normal">VLOOKUP($BY2, '2.6. кред по расч с пост'!$A$6:$F$21, 6, 0)</f>
        <v>5</v>
      </c>
      <c r="CB16" s="181" t="n">
        <f aca="false" ca="false" dt2D="false" dtr="false" t="normal">ROUND(CA16*BZ16, 2)</f>
        <v>0.77</v>
      </c>
      <c r="CC16" s="182" t="n"/>
    </row>
    <row customFormat="true" ht="30" outlineLevel="0" r="17" s="189">
      <c r="A17" s="179" t="s">
        <v>115</v>
      </c>
      <c r="B17" s="180" t="n">
        <v>0.05</v>
      </c>
      <c r="C17" s="180" t="n">
        <f aca="false" ca="false" dt2D="false" dtr="false" t="normal">ROUND(B17*100%/65%, 5)</f>
        <v>0.07692</v>
      </c>
      <c r="D17" s="181" t="n">
        <f aca="false" ca="false" dt2D="false" dtr="false" t="normal">VLOOKUP($B2, '2.7 изм кред'!$A$6:$F$21, 6, 0)</f>
        <v>2</v>
      </c>
      <c r="E17" s="181" t="n">
        <f aca="false" ca="false" dt2D="false" dtr="false" t="normal">ROUND(D17*C17, 2)</f>
        <v>0.15</v>
      </c>
      <c r="F17" s="182" t="n"/>
      <c r="G17" s="180" t="n">
        <v>0.05</v>
      </c>
      <c r="H17" s="180" t="n">
        <f aca="false" ca="false" dt2D="false" dtr="false" t="normal">G17</f>
        <v>0.05</v>
      </c>
      <c r="I17" s="181" t="n">
        <f aca="false" ca="false" dt2D="false" dtr="false" t="normal">VLOOKUP($G2, '2.7 изм кред'!$A$6:$F$21, 6, 0)</f>
        <v>0</v>
      </c>
      <c r="J17" s="181" t="n">
        <f aca="false" ca="false" dt2D="false" dtr="false" t="normal">ROUND(I17*H17, 2)</f>
        <v>0</v>
      </c>
      <c r="K17" s="182" t="n"/>
      <c r="L17" s="180" t="n">
        <v>0.05</v>
      </c>
      <c r="M17" s="180" t="n">
        <f aca="false" ca="false" dt2D="false" dtr="false" t="normal">L17</f>
        <v>0.05</v>
      </c>
      <c r="N17" s="181" t="n">
        <f aca="false" ca="false" dt2D="false" dtr="false" t="normal">VLOOKUP($L2, '2.7 изм кред'!$A$6:$F$21, 6, 0)</f>
        <v>0</v>
      </c>
      <c r="O17" s="181" t="n">
        <f aca="false" ca="false" dt2D="false" dtr="false" t="normal">ROUND(N17*M17, 2)</f>
        <v>0</v>
      </c>
      <c r="P17" s="182" t="n"/>
      <c r="Q17" s="180" t="n">
        <v>0.05</v>
      </c>
      <c r="R17" s="180" t="n">
        <f aca="false" ca="false" dt2D="false" dtr="false" t="normal">ROUND(Q17*100%/90%, 5)</f>
        <v>0.05556</v>
      </c>
      <c r="S17" s="181" t="n">
        <f aca="false" ca="false" dt2D="false" dtr="false" t="normal">VLOOKUP($Q2, '2.7 изм кред'!$A$6:$F$21, 6, 0)</f>
        <v>0</v>
      </c>
      <c r="T17" s="181" t="n">
        <f aca="false" ca="false" dt2D="false" dtr="false" t="normal">ROUND(S17*R17, 2)</f>
        <v>0</v>
      </c>
      <c r="U17" s="182" t="n"/>
      <c r="V17" s="180" t="n">
        <v>0.05</v>
      </c>
      <c r="W17" s="180" t="n">
        <f aca="false" ca="false" dt2D="false" dtr="false" t="normal">ROUND(V17*100%/90%, 5)</f>
        <v>0.05556</v>
      </c>
      <c r="X17" s="181" t="n">
        <f aca="false" ca="false" dt2D="false" dtr="false" t="normal">VLOOKUP($V2, '2.7 изм кред'!$A$6:$F$21, 6, 0)</f>
        <v>5</v>
      </c>
      <c r="Y17" s="181" t="n">
        <f aca="false" ca="false" dt2D="false" dtr="false" t="normal">ROUND(X17*W17, 2)</f>
        <v>0.28</v>
      </c>
      <c r="Z17" s="182" t="n"/>
      <c r="AA17" s="180" t="n">
        <v>0.05</v>
      </c>
      <c r="AB17" s="180" t="n">
        <f aca="false" ca="false" dt2D="false" dtr="false" t="normal">AA17</f>
        <v>0.05</v>
      </c>
      <c r="AC17" s="181" t="n">
        <f aca="false" ca="false" dt2D="false" dtr="false" t="normal">VLOOKUP($AA2, '2.7 изм кред'!$A$6:$F$21, 6, 0)</f>
        <v>0</v>
      </c>
      <c r="AD17" s="181" t="n">
        <f aca="false" ca="false" dt2D="false" dtr="false" t="normal">ROUND(AC17*AB17, 2)</f>
        <v>0</v>
      </c>
      <c r="AE17" s="182" t="n"/>
      <c r="AF17" s="180" t="n">
        <v>0.05</v>
      </c>
      <c r="AG17" s="180" t="n">
        <f aca="false" ca="false" dt2D="false" dtr="false" t="normal">AF17</f>
        <v>0.05</v>
      </c>
      <c r="AH17" s="181" t="n">
        <f aca="false" ca="false" dt2D="false" dtr="false" t="normal">VLOOKUP($AF2, '2.7 изм кред'!$A$6:$F$21, 6, 0)</f>
        <v>0</v>
      </c>
      <c r="AI17" s="181" t="n">
        <f aca="false" ca="false" dt2D="false" dtr="false" t="normal">ROUND(AH17*AG17, 2)</f>
        <v>0</v>
      </c>
      <c r="AJ17" s="182" t="n"/>
      <c r="AK17" s="180" t="n">
        <v>0.05</v>
      </c>
      <c r="AL17" s="180" t="n">
        <f aca="false" ca="false" dt2D="false" dtr="false" t="normal">ROUND(AK17*100%/90%, 5)</f>
        <v>0.05556</v>
      </c>
      <c r="AM17" s="181" t="n">
        <f aca="false" ca="false" dt2D="false" dtr="false" t="normal">VLOOKUP($AK2, '2.7 изм кред'!$A$6:$F$21, 6, 0)</f>
        <v>5</v>
      </c>
      <c r="AN17" s="181" t="n">
        <f aca="false" ca="false" dt2D="false" dtr="false" t="normal">ROUND(AM17*AL17, 2)</f>
        <v>0.28</v>
      </c>
      <c r="AO17" s="182" t="n"/>
      <c r="AP17" s="180" t="n">
        <v>0.05</v>
      </c>
      <c r="AQ17" s="180" t="n">
        <f aca="false" ca="false" dt2D="false" dtr="false" t="normal">ROUND(AP17*100%/90%, 5)</f>
        <v>0.05556</v>
      </c>
      <c r="AR17" s="181" t="n">
        <f aca="false" ca="false" dt2D="false" dtr="false" t="normal">VLOOKUP($AP2, '2.7 изм кред'!$A$6:$F$21, 6, 0)</f>
        <v>2</v>
      </c>
      <c r="AS17" s="181" t="n">
        <f aca="false" ca="false" dt2D="false" dtr="false" t="normal">ROUND(AR17*AQ17, 2)</f>
        <v>0.11</v>
      </c>
      <c r="AT17" s="182" t="n"/>
      <c r="AU17" s="180" t="n">
        <v>0.05</v>
      </c>
      <c r="AV17" s="180" t="n">
        <f aca="false" ca="false" dt2D="false" dtr="false" t="normal">AU17</f>
        <v>0.05</v>
      </c>
      <c r="AW17" s="181" t="n">
        <f aca="false" ca="false" dt2D="false" dtr="false" t="normal">VLOOKUP($AU2, '2.7 изм кред'!$A$6:$F$21, 6, 0)</f>
        <v>5</v>
      </c>
      <c r="AX17" s="181" t="n">
        <f aca="false" ca="false" dt2D="false" dtr="false" t="normal">ROUND(AW17*AV17, 2)</f>
        <v>0.25</v>
      </c>
      <c r="AY17" s="182" t="n"/>
      <c r="AZ17" s="180" t="n">
        <v>0.05</v>
      </c>
      <c r="BA17" s="180" t="n">
        <f aca="false" ca="false" dt2D="false" dtr="false" t="normal">AZ17</f>
        <v>0.05</v>
      </c>
      <c r="BB17" s="181" t="n">
        <f aca="false" ca="false" dt2D="false" dtr="false" t="normal">VLOOKUP($AZ2, '2.7 изм кред'!$A$6:$F$21, 6, 0)</f>
        <v>0</v>
      </c>
      <c r="BC17" s="181" t="n">
        <f aca="false" ca="false" dt2D="false" dtr="false" t="normal">ROUND(BB17*BA17, 2)</f>
        <v>0</v>
      </c>
      <c r="BD17" s="182" t="n"/>
      <c r="BE17" s="180" t="n">
        <v>0.05</v>
      </c>
      <c r="BF17" s="180" t="n">
        <f aca="false" ca="false" dt2D="false" dtr="false" t="normal">BE17</f>
        <v>0.05</v>
      </c>
      <c r="BG17" s="181" t="n">
        <f aca="false" ca="false" dt2D="false" dtr="false" t="normal">VLOOKUP($BE2, '2.7 изм кред'!$A$6:$F$21, 6, 0)</f>
        <v>0</v>
      </c>
      <c r="BH17" s="181" t="n">
        <f aca="false" ca="false" dt2D="false" dtr="false" t="normal">ROUND(BG17*BF17, 2)</f>
        <v>0</v>
      </c>
      <c r="BI17" s="182" t="n"/>
      <c r="BJ17" s="180" t="n">
        <v>0.05</v>
      </c>
      <c r="BK17" s="180" t="n">
        <f aca="false" ca="false" dt2D="false" dtr="false" t="normal">BJ17</f>
        <v>0.05</v>
      </c>
      <c r="BL17" s="181" t="n">
        <f aca="false" ca="false" dt2D="false" dtr="false" t="normal">VLOOKUP($BJ2, '2.7 изм кред'!$A$6:$F$21, 6, 0)</f>
        <v>1</v>
      </c>
      <c r="BM17" s="181" t="n">
        <f aca="false" ca="false" dt2D="false" dtr="false" t="normal">ROUND(BL17*BK17, 2)</f>
        <v>0.05</v>
      </c>
      <c r="BN17" s="182" t="n"/>
      <c r="BO17" s="180" t="n">
        <v>0.05</v>
      </c>
      <c r="BP17" s="180" t="n">
        <f aca="false" ca="false" dt2D="false" dtr="false" t="normal">BO17</f>
        <v>0.05</v>
      </c>
      <c r="BQ17" s="181" t="n">
        <f aca="false" ca="false" dt2D="false" dtr="false" t="normal">VLOOKUP($BO2, '2.7 изм кред'!$A$6:$F$21, 6, 0)</f>
        <v>0</v>
      </c>
      <c r="BR17" s="181" t="n">
        <f aca="false" ca="false" dt2D="false" dtr="false" t="normal">ROUND(BQ17*BP17, 2)</f>
        <v>0</v>
      </c>
      <c r="BS17" s="182" t="n"/>
      <c r="BT17" s="180" t="n">
        <v>0.05</v>
      </c>
      <c r="BU17" s="180" t="n">
        <f aca="false" ca="false" dt2D="false" dtr="false" t="normal">ROUND(BT17*100%/90%, 5)</f>
        <v>0.05556</v>
      </c>
      <c r="BV17" s="181" t="n">
        <f aca="false" ca="false" dt2D="false" dtr="false" t="normal">VLOOKUP($BT2, '2.7 изм кред'!$A$6:$F$21, 6, 0)</f>
        <v>1</v>
      </c>
      <c r="BW17" s="181" t="n">
        <f aca="false" ca="false" dt2D="false" dtr="false" t="normal">ROUND(BV17*BU17, 2)</f>
        <v>0.06</v>
      </c>
      <c r="BX17" s="182" t="n"/>
      <c r="BY17" s="180" t="n">
        <v>0.05</v>
      </c>
      <c r="BZ17" s="180" t="n">
        <f aca="false" ca="false" dt2D="false" dtr="false" t="normal">ROUND(BY17*100%/65%, 5)</f>
        <v>0.07692</v>
      </c>
      <c r="CA17" s="181" t="n">
        <f aca="false" ca="false" dt2D="false" dtr="false" t="normal">VLOOKUP($BY2, '2.7 изм кред'!$A$6:$F$21, 6, 0)</f>
        <v>0</v>
      </c>
      <c r="CB17" s="181" t="n">
        <f aca="false" ca="false" dt2D="false" dtr="false" t="normal">ROUND(CA17*BZ17, 2)</f>
        <v>0</v>
      </c>
      <c r="CC17" s="182" t="n"/>
    </row>
    <row customFormat="true" ht="30" outlineLevel="0" r="18" s="189">
      <c r="A18" s="179" t="s">
        <v>116</v>
      </c>
      <c r="B18" s="180" t="n">
        <v>0.05</v>
      </c>
      <c r="C18" s="180" t="n">
        <f aca="false" ca="false" dt2D="false" dtr="false" t="normal">ROUND(B18*100%/65%, 5)</f>
        <v>0.07692</v>
      </c>
      <c r="D18" s="181" t="n">
        <f aca="false" ca="false" dt2D="false" dtr="false" t="normal">VLOOKUP($B2, '2.8 упр деб зад'!$A$6:$F$21, 6, 0)</f>
        <v>5</v>
      </c>
      <c r="E18" s="181" t="n">
        <f aca="false" ca="false" dt2D="false" dtr="false" t="normal">ROUND(D18*C18, 2)</f>
        <v>0.38</v>
      </c>
      <c r="F18" s="182" t="n"/>
      <c r="G18" s="180" t="n">
        <v>0.05</v>
      </c>
      <c r="H18" s="180" t="n">
        <f aca="false" ca="false" dt2D="false" dtr="false" t="normal">G18</f>
        <v>0.05</v>
      </c>
      <c r="I18" s="181" t="n">
        <f aca="false" ca="false" dt2D="false" dtr="false" t="normal">VLOOKUP($G2, '2.8 упр деб зад'!$A$6:$F$21, 6, 0)</f>
        <v>0</v>
      </c>
      <c r="J18" s="181" t="n">
        <f aca="false" ca="false" dt2D="false" dtr="false" t="normal">ROUND(I18*H18, 2)</f>
        <v>0</v>
      </c>
      <c r="K18" s="182" t="n"/>
      <c r="L18" s="180" t="n">
        <v>0.05</v>
      </c>
      <c r="M18" s="180" t="n">
        <f aca="false" ca="false" dt2D="false" dtr="false" t="normal">L18</f>
        <v>0.05</v>
      </c>
      <c r="N18" s="181" t="n">
        <f aca="false" ca="false" dt2D="false" dtr="false" t="normal">VLOOKUP($L2, '2.8 упр деб зад'!$A$6:$F$21, 6, 0)</f>
        <v>0</v>
      </c>
      <c r="O18" s="181" t="n">
        <f aca="false" ca="false" dt2D="false" dtr="false" t="normal">ROUND(N18*M18, 2)</f>
        <v>0</v>
      </c>
      <c r="P18" s="182" t="n"/>
      <c r="Q18" s="180" t="n">
        <v>0.05</v>
      </c>
      <c r="R18" s="180" t="n">
        <f aca="false" ca="false" dt2D="false" dtr="false" t="normal">ROUND(Q18*100%/90%, 5)</f>
        <v>0.05556</v>
      </c>
      <c r="S18" s="181" t="n">
        <f aca="false" ca="false" dt2D="false" dtr="false" t="normal">VLOOKUP($Q2, '2.8 упр деб зад'!$A$6:$F$21, 6, 0)</f>
        <v>0</v>
      </c>
      <c r="T18" s="181" t="n">
        <f aca="false" ca="false" dt2D="false" dtr="false" t="normal">ROUND(S18*R18, 2)</f>
        <v>0</v>
      </c>
      <c r="U18" s="182" t="n"/>
      <c r="V18" s="180" t="n">
        <v>0.05</v>
      </c>
      <c r="W18" s="180" t="n">
        <f aca="false" ca="false" dt2D="false" dtr="false" t="normal">ROUND(V18*100%/90%, 5)</f>
        <v>0.05556</v>
      </c>
      <c r="X18" s="181" t="n">
        <f aca="false" ca="false" dt2D="false" dtr="false" t="normal">VLOOKUP($V2, '2.8 упр деб зад'!$A$6:$F$21, 6, 0)</f>
        <v>0</v>
      </c>
      <c r="Y18" s="181" t="n">
        <f aca="false" ca="false" dt2D="false" dtr="false" t="normal">ROUND(X18*W18, 2)</f>
        <v>0</v>
      </c>
      <c r="Z18" s="182" t="n"/>
      <c r="AA18" s="180" t="n">
        <v>0.05</v>
      </c>
      <c r="AB18" s="180" t="n">
        <f aca="false" ca="false" dt2D="false" dtr="false" t="normal">AA18</f>
        <v>0.05</v>
      </c>
      <c r="AC18" s="181" t="n">
        <f aca="false" ca="false" dt2D="false" dtr="false" t="normal">VLOOKUP($AA2, '2.8 упр деб зад'!$A$6:$F$21, 6, 0)</f>
        <v>0</v>
      </c>
      <c r="AD18" s="181" t="n">
        <f aca="false" ca="false" dt2D="false" dtr="false" t="normal">ROUND(AC18*AB18, 2)</f>
        <v>0</v>
      </c>
      <c r="AE18" s="182" t="n"/>
      <c r="AF18" s="180" t="n">
        <v>0.05</v>
      </c>
      <c r="AG18" s="180" t="n">
        <f aca="false" ca="false" dt2D="false" dtr="false" t="normal">AF18</f>
        <v>0.05</v>
      </c>
      <c r="AH18" s="181" t="n">
        <f aca="false" ca="false" dt2D="false" dtr="false" t="normal">VLOOKUP($AF2, '2.8 упр деб зад'!$A$6:$F$21, 6, 0)</f>
        <v>0</v>
      </c>
      <c r="AI18" s="181" t="n">
        <f aca="false" ca="false" dt2D="false" dtr="false" t="normal">ROUND(AH18*AG18, 2)</f>
        <v>0</v>
      </c>
      <c r="AJ18" s="182" t="n"/>
      <c r="AK18" s="180" t="n">
        <v>0.05</v>
      </c>
      <c r="AL18" s="180" t="n">
        <f aca="false" ca="false" dt2D="false" dtr="false" t="normal">ROUND(AK18*100%/90%, 5)</f>
        <v>0.05556</v>
      </c>
      <c r="AM18" s="181" t="n">
        <f aca="false" ca="false" dt2D="false" dtr="false" t="normal">VLOOKUP($AK2, '2.8 упр деб зад'!$A$6:$F$21, 6, 0)</f>
        <v>0</v>
      </c>
      <c r="AN18" s="181" t="n">
        <f aca="false" ca="false" dt2D="false" dtr="false" t="normal">ROUND(AM18*AL18, 2)</f>
        <v>0</v>
      </c>
      <c r="AO18" s="182" t="n"/>
      <c r="AP18" s="180" t="n">
        <v>0.05</v>
      </c>
      <c r="AQ18" s="180" t="n">
        <f aca="false" ca="false" dt2D="false" dtr="false" t="normal">ROUND(AP18*100%/90%, 5)</f>
        <v>0.05556</v>
      </c>
      <c r="AR18" s="181" t="n">
        <f aca="false" ca="false" dt2D="false" dtr="false" t="normal">VLOOKUP($AP2, '2.8 упр деб зад'!$A$6:$F$21, 6, 0)</f>
        <v>5</v>
      </c>
      <c r="AS18" s="181" t="n">
        <f aca="false" ca="false" dt2D="false" dtr="false" t="normal">ROUND(AR18*AQ18, 2)</f>
        <v>0.28</v>
      </c>
      <c r="AT18" s="182" t="n"/>
      <c r="AU18" s="180" t="n">
        <v>0.05</v>
      </c>
      <c r="AV18" s="180" t="n">
        <f aca="false" ca="false" dt2D="false" dtr="false" t="normal">AU18</f>
        <v>0.05</v>
      </c>
      <c r="AW18" s="181" t="n">
        <f aca="false" ca="false" dt2D="false" dtr="false" t="normal">VLOOKUP($AU2, '2.8 упр деб зад'!$A$6:$F$21, 6, 0)</f>
        <v>0</v>
      </c>
      <c r="AX18" s="181" t="n">
        <f aca="false" ca="false" dt2D="false" dtr="false" t="normal">ROUND(AW18*AV18, 2)</f>
        <v>0</v>
      </c>
      <c r="AY18" s="182" t="n"/>
      <c r="AZ18" s="180" t="n">
        <v>0.05</v>
      </c>
      <c r="BA18" s="180" t="n">
        <f aca="false" ca="false" dt2D="false" dtr="false" t="normal">AZ18</f>
        <v>0.05</v>
      </c>
      <c r="BB18" s="181" t="n">
        <f aca="false" ca="false" dt2D="false" dtr="false" t="normal">VLOOKUP($AZ2, '2.8 упр деб зад'!$A$6:$F$21, 6, 0)</f>
        <v>0</v>
      </c>
      <c r="BC18" s="181" t="n">
        <f aca="false" ca="false" dt2D="false" dtr="false" t="normal">ROUND(BB18*BA18, 2)</f>
        <v>0</v>
      </c>
      <c r="BD18" s="182" t="n"/>
      <c r="BE18" s="180" t="n">
        <v>0.05</v>
      </c>
      <c r="BF18" s="180" t="n">
        <f aca="false" ca="false" dt2D="false" dtr="false" t="normal">BE18</f>
        <v>0.05</v>
      </c>
      <c r="BG18" s="181" t="n">
        <f aca="false" ca="false" dt2D="false" dtr="false" t="normal">VLOOKUP($BE2, '2.8 упр деб зад'!$A$6:$F$21, 6, 0)</f>
        <v>0</v>
      </c>
      <c r="BH18" s="181" t="n">
        <f aca="false" ca="false" dt2D="false" dtr="false" t="normal">ROUND(BG18*BF18, 2)</f>
        <v>0</v>
      </c>
      <c r="BI18" s="182" t="n"/>
      <c r="BJ18" s="180" t="n">
        <v>0.05</v>
      </c>
      <c r="BK18" s="180" t="n">
        <f aca="false" ca="false" dt2D="false" dtr="false" t="normal">BJ18</f>
        <v>0.05</v>
      </c>
      <c r="BL18" s="181" t="n">
        <f aca="false" ca="false" dt2D="false" dtr="false" t="normal">VLOOKUP($BJ2, '2.8 упр деб зад'!$A$6:$F$21, 6, 0)</f>
        <v>0</v>
      </c>
      <c r="BM18" s="181" t="n">
        <f aca="false" ca="false" dt2D="false" dtr="false" t="normal">ROUND(BL18*BK18, 2)</f>
        <v>0</v>
      </c>
      <c r="BN18" s="182" t="n"/>
      <c r="BO18" s="180" t="n">
        <v>0.05</v>
      </c>
      <c r="BP18" s="180" t="n">
        <f aca="false" ca="false" dt2D="false" dtr="false" t="normal">BO18</f>
        <v>0.05</v>
      </c>
      <c r="BQ18" s="181" t="n">
        <f aca="false" ca="false" dt2D="false" dtr="false" t="normal">VLOOKUP($BO2, '2.8 упр деб зад'!$A$6:$F$21, 6, 0)</f>
        <v>0</v>
      </c>
      <c r="BR18" s="181" t="n">
        <f aca="false" ca="false" dt2D="false" dtr="false" t="normal">ROUND(BQ18*BP18, 2)</f>
        <v>0</v>
      </c>
      <c r="BS18" s="182" t="n"/>
      <c r="BT18" s="180" t="n">
        <v>0.05</v>
      </c>
      <c r="BU18" s="180" t="n">
        <f aca="false" ca="false" dt2D="false" dtr="false" t="normal">ROUND(BT18*100%/90%, 5)</f>
        <v>0.05556</v>
      </c>
      <c r="BV18" s="181" t="n">
        <f aca="false" ca="false" dt2D="false" dtr="false" t="normal">VLOOKUP($BT2, '2.8 упр деб зад'!$A$6:$F$21, 6, 0)</f>
        <v>2</v>
      </c>
      <c r="BW18" s="181" t="n">
        <f aca="false" ca="false" dt2D="false" dtr="false" t="normal">ROUND(BV18*BU18, 2)</f>
        <v>0.11</v>
      </c>
      <c r="BX18" s="182" t="n"/>
      <c r="BY18" s="180" t="n">
        <v>0.05</v>
      </c>
      <c r="BZ18" s="180" t="n">
        <f aca="false" ca="false" dt2D="false" dtr="false" t="normal">ROUND(BY18*100%/65%, 5)</f>
        <v>0.07692</v>
      </c>
      <c r="CA18" s="181" t="n">
        <f aca="false" ca="false" dt2D="false" dtr="false" t="normal">VLOOKUP($BY2, '2.8 упр деб зад'!$A$6:$F$21, 6, 0)</f>
        <v>5</v>
      </c>
      <c r="CB18" s="181" t="n">
        <f aca="false" ca="false" dt2D="false" dtr="false" t="normal">ROUND(CA18*BZ18, 2)</f>
        <v>0.38</v>
      </c>
      <c r="CC18" s="182" t="n"/>
    </row>
    <row customFormat="true" ht="30" outlineLevel="0" r="19" s="45">
      <c r="A19" s="184" t="s">
        <v>117</v>
      </c>
      <c r="B19" s="185" t="n">
        <v>0.05</v>
      </c>
      <c r="C19" s="185" t="n">
        <f aca="false" ca="false" dt2D="false" dtr="false" t="normal">ROUND(B19*100%/65%, 5)</f>
        <v>0.07692</v>
      </c>
      <c r="D19" s="181" t="n">
        <f aca="false" ca="false" dt2D="false" dtr="false" t="normal">VLOOKUP($B2, '2.9 изм деб'!$A$6:$F$21, 6, 0)</f>
        <v>1</v>
      </c>
      <c r="E19" s="186" t="n">
        <f aca="false" ca="false" dt2D="false" dtr="false" t="normal">ROUND(D19*C19, 2)</f>
        <v>0.08</v>
      </c>
      <c r="F19" s="187" t="n"/>
      <c r="G19" s="185" t="n">
        <v>0.05</v>
      </c>
      <c r="H19" s="185" t="n">
        <f aca="false" ca="false" dt2D="false" dtr="false" t="normal">G19</f>
        <v>0.05</v>
      </c>
      <c r="I19" s="186" t="n">
        <f aca="false" ca="false" dt2D="false" dtr="false" t="normal">VLOOKUP($G2, '2.9 изм деб'!$A$6:$F$21, 6, 0)</f>
        <v>5</v>
      </c>
      <c r="J19" s="186" t="n">
        <f aca="false" ca="false" dt2D="false" dtr="false" t="normal">ROUND(I19*H19, 2)</f>
        <v>0.25</v>
      </c>
      <c r="K19" s="187" t="n"/>
      <c r="L19" s="185" t="n">
        <v>0.05</v>
      </c>
      <c r="M19" s="185" t="n">
        <f aca="false" ca="false" dt2D="false" dtr="false" t="normal">L19</f>
        <v>0.05</v>
      </c>
      <c r="N19" s="186" t="n">
        <f aca="false" ca="false" dt2D="false" dtr="false" t="normal">VLOOKUP($L2, '2.9 изм деб'!$A$6:$F$21, 6, 0)</f>
        <v>5</v>
      </c>
      <c r="O19" s="186" t="n">
        <f aca="false" ca="false" dt2D="false" dtr="false" t="normal">ROUND(N19*M19, 2)</f>
        <v>0.25</v>
      </c>
      <c r="P19" s="187" t="n"/>
      <c r="Q19" s="185" t="n">
        <v>0.05</v>
      </c>
      <c r="R19" s="185" t="n">
        <f aca="false" ca="false" dt2D="false" dtr="false" t="normal">ROUND(Q19*100%/90%, 5)</f>
        <v>0.05556</v>
      </c>
      <c r="S19" s="186" t="n">
        <f aca="false" ca="false" dt2D="false" dtr="false" t="normal">VLOOKUP($Q2, '2.9 изм деб'!$A$6:$F$21, 6, 0)</f>
        <v>1</v>
      </c>
      <c r="T19" s="186" t="n">
        <f aca="false" ca="false" dt2D="false" dtr="false" t="normal">ROUND(S19*R19, 2)</f>
        <v>0.06</v>
      </c>
      <c r="U19" s="187" t="n"/>
      <c r="V19" s="185" t="n">
        <v>0.05</v>
      </c>
      <c r="W19" s="185" t="n">
        <f aca="false" ca="false" dt2D="false" dtr="false" t="normal">ROUND(V19*100%/90%, 5)</f>
        <v>0.05556</v>
      </c>
      <c r="X19" s="186" t="n">
        <f aca="false" ca="false" dt2D="false" dtr="false" t="normal">VLOOKUP($V2, '2.9 изм деб'!$A$6:$F$21, 6, 0)</f>
        <v>1</v>
      </c>
      <c r="Y19" s="186" t="n">
        <f aca="false" ca="false" dt2D="false" dtr="false" t="normal">ROUND(X19*W19, 2)</f>
        <v>0.06</v>
      </c>
      <c r="Z19" s="187" t="n"/>
      <c r="AA19" s="185" t="n">
        <v>0.05</v>
      </c>
      <c r="AB19" s="185" t="n">
        <f aca="false" ca="false" dt2D="false" dtr="false" t="normal">AA19</f>
        <v>0.05</v>
      </c>
      <c r="AC19" s="186" t="n">
        <f aca="false" ca="false" dt2D="false" dtr="false" t="normal">VLOOKUP($AA2, '2.9 изм деб'!$A$6:$F$21, 6, 0)</f>
        <v>2</v>
      </c>
      <c r="AD19" s="186" t="n">
        <f aca="false" ca="false" dt2D="false" dtr="false" t="normal">ROUND(AC19*AB19, 2)</f>
        <v>0.1</v>
      </c>
      <c r="AE19" s="187" t="n"/>
      <c r="AF19" s="185" t="n">
        <v>0.05</v>
      </c>
      <c r="AG19" s="185" t="n">
        <f aca="false" ca="false" dt2D="false" dtr="false" t="normal">AF19</f>
        <v>0.05</v>
      </c>
      <c r="AH19" s="186" t="n">
        <f aca="false" ca="false" dt2D="false" dtr="false" t="normal">VLOOKUP($AF2, '2.9 изм деб'!$A$6:$F$21, 6, 0)</f>
        <v>5</v>
      </c>
      <c r="AI19" s="186" t="n">
        <f aca="false" ca="false" dt2D="false" dtr="false" t="normal">ROUND(AH19*AG19, 2)</f>
        <v>0.25</v>
      </c>
      <c r="AJ19" s="187" t="n"/>
      <c r="AK19" s="185" t="n">
        <v>0.05</v>
      </c>
      <c r="AL19" s="185" t="n">
        <f aca="false" ca="false" dt2D="false" dtr="false" t="normal">ROUND(AK19*100%/90%, 5)</f>
        <v>0.05556</v>
      </c>
      <c r="AM19" s="186" t="n">
        <f aca="false" ca="false" dt2D="false" dtr="false" t="normal">VLOOKUP($AK2, '2.9 изм деб'!$A$6:$F$21, 6, 0)</f>
        <v>0</v>
      </c>
      <c r="AN19" s="186" t="n">
        <f aca="false" ca="false" dt2D="false" dtr="false" t="normal">ROUND(AM19*AL19, 2)</f>
        <v>0</v>
      </c>
      <c r="AO19" s="187" t="n"/>
      <c r="AP19" s="185" t="n">
        <v>0.05</v>
      </c>
      <c r="AQ19" s="185" t="n">
        <f aca="false" ca="false" dt2D="false" dtr="false" t="normal">ROUND(AP19*100%/90%, 5)</f>
        <v>0.05556</v>
      </c>
      <c r="AR19" s="186" t="n">
        <f aca="false" ca="false" dt2D="false" dtr="false" t="normal">VLOOKUP($AP2, '2.9 изм деб'!$A$6:$F$21, 6, 0)</f>
        <v>0</v>
      </c>
      <c r="AS19" s="186" t="n">
        <f aca="false" ca="false" dt2D="false" dtr="false" t="normal">ROUND(AR19*AQ19, 2)</f>
        <v>0</v>
      </c>
      <c r="AT19" s="187" t="n"/>
      <c r="AU19" s="185" t="n">
        <v>0.05</v>
      </c>
      <c r="AV19" s="185" t="n">
        <f aca="false" ca="false" dt2D="false" dtr="false" t="normal">AU19</f>
        <v>0.05</v>
      </c>
      <c r="AW19" s="186" t="n">
        <f aca="false" ca="false" dt2D="false" dtr="false" t="normal">VLOOKUP($AU2, '2.9 изм деб'!$A$6:$F$21, 6, 0)</f>
        <v>0</v>
      </c>
      <c r="AX19" s="186" t="n">
        <f aca="false" ca="false" dt2D="false" dtr="false" t="normal">ROUND(AW19*AV19, 2)</f>
        <v>0</v>
      </c>
      <c r="AY19" s="187" t="n"/>
      <c r="AZ19" s="185" t="n">
        <v>0.05</v>
      </c>
      <c r="BA19" s="185" t="n">
        <f aca="false" ca="false" dt2D="false" dtr="false" t="normal">AZ19</f>
        <v>0.05</v>
      </c>
      <c r="BB19" s="186" t="n">
        <f aca="false" ca="false" dt2D="false" dtr="false" t="normal">VLOOKUP($AZ2, '2.9 изм деб'!$A$6:$F$21, 6, 0)</f>
        <v>0</v>
      </c>
      <c r="BC19" s="186" t="n">
        <f aca="false" ca="false" dt2D="false" dtr="false" t="normal">ROUND(BB19*BA19, 2)</f>
        <v>0</v>
      </c>
      <c r="BD19" s="187" t="n"/>
      <c r="BE19" s="185" t="n">
        <v>0.05</v>
      </c>
      <c r="BF19" s="185" t="n">
        <f aca="false" ca="false" dt2D="false" dtr="false" t="normal">BE19</f>
        <v>0.05</v>
      </c>
      <c r="BG19" s="186" t="n">
        <f aca="false" ca="false" dt2D="false" dtr="false" t="normal">VLOOKUP($BE2, '2.9 изм деб'!$A$6:$F$21, 6, 0)</f>
        <v>0</v>
      </c>
      <c r="BH19" s="186" t="n">
        <f aca="false" ca="false" dt2D="false" dtr="false" t="normal">ROUND(BG19*BF19, 2)</f>
        <v>0</v>
      </c>
      <c r="BI19" s="187" t="n"/>
      <c r="BJ19" s="185" t="n">
        <v>0.05</v>
      </c>
      <c r="BK19" s="185" t="n">
        <f aca="false" ca="false" dt2D="false" dtr="false" t="normal">BJ19</f>
        <v>0.05</v>
      </c>
      <c r="BL19" s="186" t="n">
        <f aca="false" ca="false" dt2D="false" dtr="false" t="normal">VLOOKUP($BJ2, '2.9 изм деб'!$A$6:$F$21, 6, 0)</f>
        <v>4</v>
      </c>
      <c r="BM19" s="186" t="n">
        <f aca="false" ca="false" dt2D="false" dtr="false" t="normal">ROUND(BL19*BK19, 2)</f>
        <v>0.2</v>
      </c>
      <c r="BN19" s="187" t="n"/>
      <c r="BO19" s="185" t="n">
        <v>0.05</v>
      </c>
      <c r="BP19" s="185" t="n">
        <f aca="false" ca="false" dt2D="false" dtr="false" t="normal">BO19</f>
        <v>0.05</v>
      </c>
      <c r="BQ19" s="186" t="n">
        <f aca="false" ca="false" dt2D="false" dtr="false" t="normal">VLOOKUP($BO2, '2.9 изм деб'!$A$6:$F$21, 6, 0)</f>
        <v>0</v>
      </c>
      <c r="BR19" s="186" t="n">
        <f aca="false" ca="false" dt2D="false" dtr="false" t="normal">ROUND(BQ19*BP19, 2)</f>
        <v>0</v>
      </c>
      <c r="BS19" s="187" t="n"/>
      <c r="BT19" s="185" t="n">
        <v>0.05</v>
      </c>
      <c r="BU19" s="185" t="n">
        <f aca="false" ca="false" dt2D="false" dtr="false" t="normal">ROUND(BT19*100%/90%, 5)</f>
        <v>0.05556</v>
      </c>
      <c r="BV19" s="186" t="n">
        <f aca="false" ca="false" dt2D="false" dtr="false" t="normal">VLOOKUP($BT2, '2.9 изм деб'!$A$6:$F$21, 6, 0)</f>
        <v>5</v>
      </c>
      <c r="BW19" s="186" t="n">
        <f aca="false" ca="false" dt2D="false" dtr="false" t="normal">ROUND(BV19*BU19, 2)</f>
        <v>0.28</v>
      </c>
      <c r="BX19" s="187" t="n"/>
      <c r="BY19" s="185" t="n">
        <v>0.05</v>
      </c>
      <c r="BZ19" s="185" t="n">
        <f aca="false" ca="false" dt2D="false" dtr="false" t="normal">ROUND(BY19*100%/65%, 5)</f>
        <v>0.07692</v>
      </c>
      <c r="CA19" s="186" t="n">
        <f aca="false" ca="false" dt2D="false" dtr="false" t="normal">VLOOKUP($BY2, '2.9 изм деб'!$A$6:$F$21, 6, 0)</f>
        <v>5</v>
      </c>
      <c r="CB19" s="186" t="n">
        <f aca="false" ca="false" dt2D="false" dtr="false" t="normal">ROUND(CA19*BZ19, 2)</f>
        <v>0.38</v>
      </c>
      <c r="CC19" s="187" t="n"/>
    </row>
    <row customFormat="true" ht="75" outlineLevel="0" r="20" s="45">
      <c r="A20" s="184" t="s">
        <v>118</v>
      </c>
      <c r="B20" s="185" t="n">
        <v>0.05</v>
      </c>
      <c r="C20" s="185" t="n">
        <f aca="false" ca="false" dt2D="false" dtr="false" t="normal">ROUND(B20*100%/65%, 5)</f>
        <v>0.07692</v>
      </c>
      <c r="D20" s="190" t="n">
        <f aca="false" ca="false" dt2D="false" dtr="false" t="normal">VLOOKUP($B2, '2.10 невыясн поступл'!$A$6:$E$24, 5, 0)</f>
        <v>0</v>
      </c>
      <c r="E20" s="186" t="n">
        <f aca="false" ca="false" dt2D="false" dtr="false" t="normal">ROUND(D20*C20, 2)</f>
        <v>0</v>
      </c>
      <c r="F20" s="187" t="n"/>
      <c r="G20" s="185" t="n">
        <v>0.05</v>
      </c>
      <c r="H20" s="185" t="n">
        <f aca="false" ca="false" dt2D="false" dtr="false" t="normal">G20</f>
        <v>0.05</v>
      </c>
      <c r="I20" s="190" t="n">
        <f aca="false" ca="false" dt2D="false" dtr="false" t="normal">VLOOKUP($G2, '2.10 невыясн поступл'!$A$6:$E$24, 5, 0)</f>
        <v>5</v>
      </c>
      <c r="J20" s="186" t="n">
        <f aca="false" ca="false" dt2D="false" dtr="false" t="normal">ROUND(I20*H20, 2)</f>
        <v>0.25</v>
      </c>
      <c r="K20" s="187" t="n"/>
      <c r="L20" s="185" t="n">
        <v>0.05</v>
      </c>
      <c r="M20" s="185" t="n">
        <f aca="false" ca="false" dt2D="false" dtr="false" t="normal">L20</f>
        <v>0.05</v>
      </c>
      <c r="N20" s="190" t="n">
        <f aca="false" ca="false" dt2D="false" dtr="false" t="normal">VLOOKUP($L2, '2.10 невыясн поступл'!$A$6:$E$24, 5, 0)</f>
        <v>5</v>
      </c>
      <c r="O20" s="186" t="n">
        <f aca="false" ca="false" dt2D="false" dtr="false" t="normal">ROUND(N20*M20, 2)</f>
        <v>0.25</v>
      </c>
      <c r="P20" s="187" t="n"/>
      <c r="Q20" s="185" t="n">
        <v>0.05</v>
      </c>
      <c r="R20" s="185" t="n">
        <f aca="false" ca="false" dt2D="false" dtr="false" t="normal">ROUND(Q20*100%/90%, 5)</f>
        <v>0.05556</v>
      </c>
      <c r="S20" s="190" t="n">
        <f aca="false" ca="false" dt2D="false" dtr="false" t="normal">VLOOKUP($Q2, '2.10 невыясн поступл'!$A$6:$E$24, 5, 0)</f>
        <v>5</v>
      </c>
      <c r="T20" s="186" t="n">
        <f aca="false" ca="false" dt2D="false" dtr="false" t="normal">ROUND(S20*R20, 2)</f>
        <v>0.28</v>
      </c>
      <c r="U20" s="187" t="n"/>
      <c r="V20" s="185" t="n">
        <v>0.05</v>
      </c>
      <c r="W20" s="185" t="n">
        <f aca="false" ca="false" dt2D="false" dtr="false" t="normal">ROUND(V20*100%/90%, 5)</f>
        <v>0.05556</v>
      </c>
      <c r="X20" s="190" t="n">
        <f aca="false" ca="false" dt2D="false" dtr="false" t="normal">VLOOKUP($V2, '2.10 невыясн поступл'!$A$6:$E$24, 5, 0)</f>
        <v>5</v>
      </c>
      <c r="Y20" s="186" t="n">
        <f aca="false" ca="false" dt2D="false" dtr="false" t="normal">ROUND(X20*W20, 2)</f>
        <v>0.28</v>
      </c>
      <c r="Z20" s="187" t="n"/>
      <c r="AA20" s="185" t="n">
        <v>0.05</v>
      </c>
      <c r="AB20" s="185" t="n">
        <f aca="false" ca="false" dt2D="false" dtr="false" t="normal">AA20</f>
        <v>0.05</v>
      </c>
      <c r="AC20" s="190" t="n">
        <f aca="false" ca="false" dt2D="false" dtr="false" t="normal">VLOOKUP($AA2, '2.10 невыясн поступл'!$A$6:$E$24, 5, 0)</f>
        <v>5</v>
      </c>
      <c r="AD20" s="186" t="n">
        <f aca="false" ca="false" dt2D="false" dtr="false" t="normal">ROUND(AC20*AB20, 2)</f>
        <v>0.25</v>
      </c>
      <c r="AE20" s="187" t="n"/>
      <c r="AF20" s="185" t="n">
        <v>0.05</v>
      </c>
      <c r="AG20" s="185" t="n">
        <f aca="false" ca="false" dt2D="false" dtr="false" t="normal">AF20</f>
        <v>0.05</v>
      </c>
      <c r="AH20" s="190" t="n">
        <f aca="false" ca="false" dt2D="false" dtr="false" t="normal">VLOOKUP($AF2, '2.10 невыясн поступл'!$A$6:$E$24, 5, 0)</f>
        <v>5</v>
      </c>
      <c r="AI20" s="186" t="n">
        <f aca="false" ca="false" dt2D="false" dtr="false" t="normal">ROUND(AH20*AG20, 2)</f>
        <v>0.25</v>
      </c>
      <c r="AJ20" s="187" t="n"/>
      <c r="AK20" s="185" t="n">
        <v>0.05</v>
      </c>
      <c r="AL20" s="185" t="n">
        <f aca="false" ca="false" dt2D="false" dtr="false" t="normal">ROUND(AK20*100%/90%, 5)</f>
        <v>0.05556</v>
      </c>
      <c r="AM20" s="190" t="n">
        <f aca="false" ca="false" dt2D="false" dtr="false" t="normal">VLOOKUP($AK2, '2.10 невыясн поступл'!$A$6:$E$24, 5, 0)</f>
        <v>5</v>
      </c>
      <c r="AN20" s="186" t="n">
        <f aca="false" ca="false" dt2D="false" dtr="false" t="normal">ROUND(AM20*AL20, 2)</f>
        <v>0.28</v>
      </c>
      <c r="AO20" s="187" t="n"/>
      <c r="AP20" s="185" t="n">
        <v>0.05</v>
      </c>
      <c r="AQ20" s="185" t="n">
        <f aca="false" ca="false" dt2D="false" dtr="false" t="normal">ROUND(AP20*100%/90%, 5)</f>
        <v>0.05556</v>
      </c>
      <c r="AR20" s="190" t="n">
        <f aca="false" ca="false" dt2D="false" dtr="false" t="normal">VLOOKUP($AP2, '2.10 невыясн поступл'!$A$6:$E$24, 5, 0)</f>
        <v>5</v>
      </c>
      <c r="AS20" s="186" t="n">
        <f aca="false" ca="false" dt2D="false" dtr="false" t="normal">ROUND(AR20*AQ20, 2)</f>
        <v>0.28</v>
      </c>
      <c r="AT20" s="187" t="n"/>
      <c r="AU20" s="185" t="n">
        <v>0.05</v>
      </c>
      <c r="AV20" s="185" t="n">
        <f aca="false" ca="false" dt2D="false" dtr="false" t="normal">AU20</f>
        <v>0.05</v>
      </c>
      <c r="AW20" s="190" t="n">
        <f aca="false" ca="false" dt2D="false" dtr="false" t="normal">VLOOKUP($AU2, '2.10 невыясн поступл'!$A$6:$E$24, 5, 0)</f>
        <v>5</v>
      </c>
      <c r="AX20" s="186" t="n">
        <f aca="false" ca="false" dt2D="false" dtr="false" t="normal">ROUND(AW20*AV20, 2)</f>
        <v>0.25</v>
      </c>
      <c r="AY20" s="187" t="n"/>
      <c r="AZ20" s="185" t="n">
        <v>0.05</v>
      </c>
      <c r="BA20" s="185" t="n">
        <f aca="false" ca="false" dt2D="false" dtr="false" t="normal">AZ20</f>
        <v>0.05</v>
      </c>
      <c r="BB20" s="190" t="n">
        <f aca="false" ca="false" dt2D="false" dtr="false" t="normal">VLOOKUP($AZ2, '2.10 невыясн поступл'!$A$6:$E$24, 5, 0)</f>
        <v>5</v>
      </c>
      <c r="BC20" s="186" t="n">
        <f aca="false" ca="false" dt2D="false" dtr="false" t="normal">ROUND(BB20*BA20, 2)</f>
        <v>0.25</v>
      </c>
      <c r="BD20" s="187" t="n"/>
      <c r="BE20" s="185" t="n">
        <v>0.05</v>
      </c>
      <c r="BF20" s="185" t="n">
        <f aca="false" ca="false" dt2D="false" dtr="false" t="normal">BE20</f>
        <v>0.05</v>
      </c>
      <c r="BG20" s="190" t="n">
        <f aca="false" ca="false" dt2D="false" dtr="false" t="normal">VLOOKUP($BE2, '2.10 невыясн поступл'!$A$6:$E$24, 5, 0)</f>
        <v>5</v>
      </c>
      <c r="BH20" s="186" t="n">
        <f aca="false" ca="false" dt2D="false" dtr="false" t="normal">ROUND(BG20*BF20, 2)</f>
        <v>0.25</v>
      </c>
      <c r="BI20" s="187" t="n"/>
      <c r="BJ20" s="185" t="n">
        <v>0.05</v>
      </c>
      <c r="BK20" s="185" t="n">
        <f aca="false" ca="false" dt2D="false" dtr="false" t="normal">BJ20</f>
        <v>0.05</v>
      </c>
      <c r="BL20" s="190" t="n">
        <f aca="false" ca="false" dt2D="false" dtr="false" t="normal">VLOOKUP($BJ2, '2.10 невыясн поступл'!$A$6:$E$24, 5, 0)</f>
        <v>5</v>
      </c>
      <c r="BM20" s="186" t="n">
        <f aca="false" ca="false" dt2D="false" dtr="false" t="normal">ROUND(BL20*BK20, 2)</f>
        <v>0.25</v>
      </c>
      <c r="BN20" s="187" t="n"/>
      <c r="BO20" s="185" t="n">
        <v>0.05</v>
      </c>
      <c r="BP20" s="185" t="n">
        <f aca="false" ca="false" dt2D="false" dtr="false" t="normal">BO20</f>
        <v>0.05</v>
      </c>
      <c r="BQ20" s="190" t="n">
        <f aca="false" ca="false" dt2D="false" dtr="false" t="normal">VLOOKUP($BO2, '2.10 невыясн поступл'!$A$6:$E$24, 5, 0)</f>
        <v>0</v>
      </c>
      <c r="BR20" s="186" t="n">
        <f aca="false" ca="false" dt2D="false" dtr="false" t="normal">ROUND(BQ20*BP20, 2)</f>
        <v>0</v>
      </c>
      <c r="BS20" s="187" t="n"/>
      <c r="BT20" s="185" t="n">
        <v>0.05</v>
      </c>
      <c r="BU20" s="185" t="n">
        <f aca="false" ca="false" dt2D="false" dtr="false" t="normal">ROUND(BT20*100%/90%, 5)</f>
        <v>0.05556</v>
      </c>
      <c r="BV20" s="190" t="n">
        <f aca="false" ca="false" dt2D="false" dtr="false" t="normal">VLOOKUP($BT2, '2.10 невыясн поступл'!$A$6:$E$24, 5, 0)</f>
        <v>5</v>
      </c>
      <c r="BW20" s="186" t="n">
        <f aca="false" ca="false" dt2D="false" dtr="false" t="normal">ROUND(BV20*BU20, 2)</f>
        <v>0.28</v>
      </c>
      <c r="BX20" s="187" t="n"/>
      <c r="BY20" s="185" t="n">
        <v>0.05</v>
      </c>
      <c r="BZ20" s="185" t="n">
        <f aca="false" ca="false" dt2D="false" dtr="false" t="normal">ROUND(BY20*100%/65%, 5)</f>
        <v>0.07692</v>
      </c>
      <c r="CA20" s="190" t="n">
        <f aca="false" ca="false" dt2D="false" dtr="false" t="normal">VLOOKUP($BY2, '2.10 невыясн поступл'!$A$6:$E$24, 5, 0)</f>
        <v>0</v>
      </c>
      <c r="CB20" s="186" t="n">
        <f aca="false" ca="false" dt2D="false" dtr="false" t="normal">ROUND(CA20*BZ20, 2)</f>
        <v>0</v>
      </c>
      <c r="CC20" s="187" t="n"/>
    </row>
    <row customFormat="true" ht="45" outlineLevel="0" r="21" s="45">
      <c r="A21" s="184" t="s">
        <v>119</v>
      </c>
      <c r="B21" s="185" t="n">
        <v>0.1</v>
      </c>
      <c r="C21" s="185" t="n">
        <f aca="false" ca="false" dt2D="false" dtr="false" t="normal">ROUND(B21*100%/65%, 5)</f>
        <v>0.15385</v>
      </c>
      <c r="D21" s="186" t="n">
        <f aca="false" ca="false" dt2D="false" dtr="false" t="normal">VLOOKUP($B2, '2.11 исп дох'!$A$6:$F$21, 6, 0)</f>
        <v>0</v>
      </c>
      <c r="E21" s="186" t="n">
        <f aca="false" ca="false" dt2D="false" dtr="false" t="normal">ROUND(D21*C21, 2)</f>
        <v>0</v>
      </c>
      <c r="F21" s="187" t="n"/>
      <c r="G21" s="185" t="n">
        <v>0.1</v>
      </c>
      <c r="H21" s="185" t="n">
        <f aca="false" ca="false" dt2D="false" dtr="false" t="normal">G21</f>
        <v>0.1</v>
      </c>
      <c r="I21" s="186" t="n">
        <f aca="false" ca="false" dt2D="false" dtr="false" t="normal">VLOOKUP($G2, '2.11 исп дох'!$A$6:$F$21, 6, 0)</f>
        <v>5</v>
      </c>
      <c r="J21" s="186" t="n">
        <f aca="false" ca="false" dt2D="false" dtr="false" t="normal">ROUND(I21*H21, 2)</f>
        <v>0.5</v>
      </c>
      <c r="K21" s="187" t="n"/>
      <c r="L21" s="185" t="n">
        <v>0.1</v>
      </c>
      <c r="M21" s="185" t="n">
        <f aca="false" ca="false" dt2D="false" dtr="false" t="normal">L21</f>
        <v>0.1</v>
      </c>
      <c r="N21" s="186" t="n">
        <f aca="false" ca="false" dt2D="false" dtr="false" t="normal">VLOOKUP($L2, '2.11 исп дох'!$A$6:$F$21, 6, 0)</f>
        <v>5</v>
      </c>
      <c r="O21" s="186" t="n">
        <f aca="false" ca="false" dt2D="false" dtr="false" t="normal">ROUND(N21*M21, 2)</f>
        <v>0.5</v>
      </c>
      <c r="P21" s="187" t="n"/>
      <c r="Q21" s="185" t="n">
        <v>0.1</v>
      </c>
      <c r="R21" s="185" t="n">
        <f aca="false" ca="false" dt2D="false" dtr="false" t="normal">ROUND(Q21*100%/90%, 5)</f>
        <v>0.11111</v>
      </c>
      <c r="S21" s="186" t="n">
        <f aca="false" ca="false" dt2D="false" dtr="false" t="normal">VLOOKUP($Q2, '2.11 исп дох'!$A$6:$F$21, 6, 0)</f>
        <v>5</v>
      </c>
      <c r="T21" s="186" t="n">
        <f aca="false" ca="false" dt2D="false" dtr="false" t="normal">ROUND(S21*R21, 2)</f>
        <v>0.56</v>
      </c>
      <c r="U21" s="187" t="n"/>
      <c r="V21" s="185" t="n">
        <v>0.1</v>
      </c>
      <c r="W21" s="185" t="n">
        <f aca="false" ca="false" dt2D="false" dtr="false" t="normal">ROUND(V21*100%/90%, 5)</f>
        <v>0.11111</v>
      </c>
      <c r="X21" s="186" t="n">
        <f aca="false" ca="false" dt2D="false" dtr="false" t="normal">VLOOKUP($V2, '2.11 исп дох'!$A$6:$F$21, 6, 0)</f>
        <v>5</v>
      </c>
      <c r="Y21" s="186" t="n">
        <f aca="false" ca="false" dt2D="false" dtr="false" t="normal">ROUND(X21*W21, 2)</f>
        <v>0.56</v>
      </c>
      <c r="Z21" s="187" t="n"/>
      <c r="AA21" s="185" t="n">
        <v>0.1</v>
      </c>
      <c r="AB21" s="185" t="n">
        <f aca="false" ca="false" dt2D="false" dtr="false" t="normal">AA21</f>
        <v>0.1</v>
      </c>
      <c r="AC21" s="186" t="n">
        <f aca="false" ca="false" dt2D="false" dtr="false" t="normal">VLOOKUP($AA2, '2.11 исп дох'!$A$6:$F$21, 6, 0)</f>
        <v>0</v>
      </c>
      <c r="AD21" s="186" t="n">
        <f aca="false" ca="false" dt2D="false" dtr="false" t="normal">ROUND(AC21*AB21, 2)</f>
        <v>0</v>
      </c>
      <c r="AE21" s="187" t="n"/>
      <c r="AF21" s="185" t="n">
        <v>0.1</v>
      </c>
      <c r="AG21" s="185" t="n">
        <f aca="false" ca="false" dt2D="false" dtr="false" t="normal">AF21</f>
        <v>0.1</v>
      </c>
      <c r="AH21" s="186" t="n">
        <f aca="false" ca="false" dt2D="false" dtr="false" t="normal">VLOOKUP($AF2, '2.11 исп дох'!$A$6:$F$21, 6, 0)</f>
        <v>0</v>
      </c>
      <c r="AI21" s="186" t="n">
        <f aca="false" ca="false" dt2D="false" dtr="false" t="normal">ROUND(AH21*AG21, 2)</f>
        <v>0</v>
      </c>
      <c r="AJ21" s="187" t="n"/>
      <c r="AK21" s="185" t="n">
        <v>0.1</v>
      </c>
      <c r="AL21" s="185" t="n">
        <f aca="false" ca="false" dt2D="false" dtr="false" t="normal">ROUND(AK21*100%/90%, 5)</f>
        <v>0.11111</v>
      </c>
      <c r="AM21" s="186" t="n">
        <f aca="false" ca="false" dt2D="false" dtr="false" t="normal">VLOOKUP($AK2, '2.11 исп дох'!$A$6:$F$21, 6, 0)</f>
        <v>5</v>
      </c>
      <c r="AN21" s="186" t="n">
        <f aca="false" ca="false" dt2D="false" dtr="false" t="normal">ROUND(AM21*AL21, 2)</f>
        <v>0.56</v>
      </c>
      <c r="AO21" s="187" t="n"/>
      <c r="AP21" s="185" t="n">
        <v>0.1</v>
      </c>
      <c r="AQ21" s="185" t="n">
        <f aca="false" ca="false" dt2D="false" dtr="false" t="normal">ROUND(AP21*100%/90%, 5)</f>
        <v>0.11111</v>
      </c>
      <c r="AR21" s="186" t="n">
        <f aca="false" ca="false" dt2D="false" dtr="false" t="normal">VLOOKUP($AP2, '2.11 исп дох'!$A$6:$F$21, 6, 0)</f>
        <v>0</v>
      </c>
      <c r="AS21" s="186" t="n">
        <f aca="false" ca="false" dt2D="false" dtr="false" t="normal">ROUND(AR21*AQ21, 2)</f>
        <v>0</v>
      </c>
      <c r="AT21" s="187" t="n"/>
      <c r="AU21" s="185" t="n">
        <v>0.1</v>
      </c>
      <c r="AV21" s="185" t="n">
        <f aca="false" ca="false" dt2D="false" dtr="false" t="normal">AU21</f>
        <v>0.1</v>
      </c>
      <c r="AW21" s="186" t="n">
        <f aca="false" ca="false" dt2D="false" dtr="false" t="normal">VLOOKUP($AU2, '2.11 исп дох'!$A$6:$F$21, 6, 0)</f>
        <v>5</v>
      </c>
      <c r="AX21" s="186" t="n">
        <f aca="false" ca="false" dt2D="false" dtr="false" t="normal">ROUND(AW21*AV21, 2)</f>
        <v>0.5</v>
      </c>
      <c r="AY21" s="187" t="n"/>
      <c r="AZ21" s="185" t="n">
        <v>0.1</v>
      </c>
      <c r="BA21" s="185" t="n">
        <f aca="false" ca="false" dt2D="false" dtr="false" t="normal">AZ21</f>
        <v>0.1</v>
      </c>
      <c r="BB21" s="186" t="n">
        <f aca="false" ca="false" dt2D="false" dtr="false" t="normal">VLOOKUP($AZ2, '2.11 исп дох'!$A$6:$F$21, 6, 0)</f>
        <v>5</v>
      </c>
      <c r="BC21" s="186" t="n">
        <f aca="false" ca="false" dt2D="false" dtr="false" t="normal">ROUND(BB21*BA21, 2)</f>
        <v>0.5</v>
      </c>
      <c r="BD21" s="187" t="n"/>
      <c r="BE21" s="185" t="n">
        <v>0.1</v>
      </c>
      <c r="BF21" s="185" t="n">
        <f aca="false" ca="false" dt2D="false" dtr="false" t="normal">BE21</f>
        <v>0.1</v>
      </c>
      <c r="BG21" s="186" t="n">
        <f aca="false" ca="false" dt2D="false" dtr="false" t="normal">VLOOKUP($BE2, '2.11 исп дох'!$A$6:$F$21, 6, 0)</f>
        <v>5</v>
      </c>
      <c r="BH21" s="186" t="n">
        <f aca="false" ca="false" dt2D="false" dtr="false" t="normal">ROUND(BG21*BF21, 2)</f>
        <v>0.5</v>
      </c>
      <c r="BI21" s="187" t="n"/>
      <c r="BJ21" s="185" t="n">
        <v>0.1</v>
      </c>
      <c r="BK21" s="185" t="n">
        <f aca="false" ca="false" dt2D="false" dtr="false" t="normal">BJ21</f>
        <v>0.1</v>
      </c>
      <c r="BL21" s="186" t="n">
        <f aca="false" ca="false" dt2D="false" dtr="false" t="normal">VLOOKUP($BJ2, '2.11 исп дох'!$A$6:$F$21, 6, 0)</f>
        <v>5</v>
      </c>
      <c r="BM21" s="186" t="n">
        <f aca="false" ca="false" dt2D="false" dtr="false" t="normal">ROUND(BL21*BK21, 2)</f>
        <v>0.5</v>
      </c>
      <c r="BN21" s="187" t="n"/>
      <c r="BO21" s="185" t="n">
        <v>0.1</v>
      </c>
      <c r="BP21" s="185" t="n">
        <f aca="false" ca="false" dt2D="false" dtr="false" t="normal">BO21</f>
        <v>0.1</v>
      </c>
      <c r="BQ21" s="186" t="n">
        <f aca="false" ca="false" dt2D="false" dtr="false" t="normal">VLOOKUP($BO2, '2.11 исп дох'!$A$6:$F$21, 6, 0)</f>
        <v>5</v>
      </c>
      <c r="BR21" s="186" t="n">
        <f aca="false" ca="false" dt2D="false" dtr="false" t="normal">ROUND(BQ21*BP21, 2)</f>
        <v>0.5</v>
      </c>
      <c r="BS21" s="187" t="n"/>
      <c r="BT21" s="185" t="n">
        <v>0.1</v>
      </c>
      <c r="BU21" s="185" t="n">
        <f aca="false" ca="false" dt2D="false" dtr="false" t="normal">ROUND(BT21*100%/90%, 5)</f>
        <v>0.11111</v>
      </c>
      <c r="BV21" s="186" t="n">
        <f aca="false" ca="false" dt2D="false" dtr="false" t="normal">VLOOKUP($BT2, '2.11 исп дох'!$A$6:$F$21, 6, 0)</f>
        <v>0</v>
      </c>
      <c r="BW21" s="186" t="n">
        <f aca="false" ca="false" dt2D="false" dtr="false" t="normal">ROUND(BV21*BU21, 2)</f>
        <v>0</v>
      </c>
      <c r="BX21" s="187" t="n"/>
      <c r="BY21" s="185" t="n">
        <v>0.1</v>
      </c>
      <c r="BZ21" s="185" t="n">
        <f aca="false" ca="false" dt2D="false" dtr="false" t="normal">ROUND(BY21*100%/65%, 5)</f>
        <v>0.15385</v>
      </c>
      <c r="CA21" s="186" t="n">
        <f aca="false" ca="false" dt2D="false" dtr="false" t="normal">VLOOKUP($BY2, '2.11 исп дох'!$A$6:$F$21, 6, 0)</f>
        <v>0</v>
      </c>
      <c r="CB21" s="186" t="n">
        <f aca="false" ca="false" dt2D="false" dtr="false" t="normal">ROUND(CA21*BZ21, 2)</f>
        <v>0</v>
      </c>
      <c r="CC21" s="187" t="n"/>
    </row>
    <row customFormat="true" customHeight="true" ht="14.4499998092651" outlineLevel="0" r="22" s="191">
      <c r="A22" s="174" t="s">
        <v>120</v>
      </c>
      <c r="B22" s="175" t="n">
        <v>0.1</v>
      </c>
      <c r="C22" s="175" t="n">
        <f aca="false" ca="false" dt2D="false" dtr="false" t="normal">ROUND(B22*100%/70%, 5)</f>
        <v>0.14286</v>
      </c>
      <c r="D22" s="176" t="n"/>
      <c r="E22" s="176" t="n">
        <f aca="false" ca="false" dt2D="false" dtr="false" t="normal">SUM(E23:E27)</f>
        <v>5</v>
      </c>
      <c r="F22" s="177" t="n">
        <f aca="false" ca="false" dt2D="false" dtr="false" t="normal">ROUND(E22*C22, 2)</f>
        <v>0.71</v>
      </c>
      <c r="G22" s="175" t="n">
        <v>0.1</v>
      </c>
      <c r="H22" s="175" t="n">
        <v>0.1</v>
      </c>
      <c r="I22" s="176" t="n"/>
      <c r="J22" s="176" t="n">
        <f aca="false" ca="false" dt2D="false" dtr="false" t="normal">SUM(J23:J27)</f>
        <v>4.55</v>
      </c>
      <c r="K22" s="177" t="n">
        <f aca="false" ca="false" dt2D="false" dtr="false" t="normal">ROUND(J22*H22, 2)</f>
        <v>0.46</v>
      </c>
      <c r="L22" s="175" t="n">
        <v>0.1</v>
      </c>
      <c r="M22" s="175" t="n">
        <f aca="false" ca="false" dt2D="false" dtr="false" t="normal">ROUND(L22*100%/70%, 5)</f>
        <v>0.14286</v>
      </c>
      <c r="N22" s="176" t="n"/>
      <c r="O22" s="176" t="n">
        <f aca="false" ca="false" dt2D="false" dtr="false" t="normal">SUM(O23:O27)</f>
        <v>3.18</v>
      </c>
      <c r="P22" s="177" t="n">
        <f aca="false" ca="false" dt2D="false" dtr="false" t="normal">ROUND(O22*M22, 2)</f>
        <v>0.45</v>
      </c>
      <c r="Q22" s="175" t="n">
        <v>0.1</v>
      </c>
      <c r="R22" s="175" t="n">
        <f aca="false" ca="false" dt2D="false" dtr="false" t="normal">ROUND(Q22*100%/70%, 5)</f>
        <v>0.14286</v>
      </c>
      <c r="S22" s="176" t="n"/>
      <c r="T22" s="176" t="n">
        <f aca="false" ca="false" dt2D="false" dtr="false" t="normal">SUM(T23:T27)</f>
        <v>5</v>
      </c>
      <c r="U22" s="177" t="n">
        <f aca="false" ca="false" dt2D="false" dtr="false" t="normal">ROUND(T22*R22, 2)</f>
        <v>0.71</v>
      </c>
      <c r="V22" s="175" t="n">
        <v>0.1</v>
      </c>
      <c r="W22" s="175" t="n">
        <f aca="false" ca="false" dt2D="false" dtr="false" t="normal">ROUND(V22*100%/70%, 5)</f>
        <v>0.14286</v>
      </c>
      <c r="X22" s="176" t="n"/>
      <c r="Y22" s="176" t="n">
        <f aca="false" ca="false" dt2D="false" dtr="false" t="normal">SUM(Y23:Y27)</f>
        <v>3.64</v>
      </c>
      <c r="Z22" s="177" t="n">
        <f aca="false" ca="false" dt2D="false" dtr="false" t="normal">ROUND(Y22*W22, 2)</f>
        <v>0.52</v>
      </c>
      <c r="AA22" s="175" t="n">
        <v>0.1</v>
      </c>
      <c r="AB22" s="175" t="n">
        <f aca="false" ca="false" dt2D="false" dtr="false" t="normal">ROUND(AA22*100%/80%, 5)</f>
        <v>0.125</v>
      </c>
      <c r="AC22" s="176" t="n"/>
      <c r="AD22" s="176" t="n">
        <f aca="false" ca="false" dt2D="false" dtr="false" t="normal">SUM(AD23:AD27)</f>
        <v>4.25</v>
      </c>
      <c r="AE22" s="177" t="n">
        <f aca="false" ca="false" dt2D="false" dtr="false" t="normal">ROUND(AD22*AB22, 2)</f>
        <v>0.53</v>
      </c>
      <c r="AF22" s="175" t="n">
        <v>0.1</v>
      </c>
      <c r="AG22" s="175" t="n">
        <f aca="false" ca="false" dt2D="false" dtr="false" t="normal">ROUND(AF22*100%/80%, 5)</f>
        <v>0.125</v>
      </c>
      <c r="AH22" s="176" t="n"/>
      <c r="AI22" s="176" t="n">
        <f aca="false" ca="false" dt2D="false" dtr="false" t="normal">SUM(AI23:AI27)</f>
        <v>3</v>
      </c>
      <c r="AJ22" s="177" t="n">
        <f aca="false" ca="false" dt2D="false" dtr="false" t="normal">ROUND(AI22*AG22, 2)</f>
        <v>0.38</v>
      </c>
      <c r="AK22" s="175" t="n">
        <v>0.1</v>
      </c>
      <c r="AL22" s="175" t="n">
        <f aca="false" ca="false" dt2D="false" dtr="false" t="normal">ROUND(AK22*100%/90%, 5)</f>
        <v>0.11111</v>
      </c>
      <c r="AM22" s="176" t="n"/>
      <c r="AN22" s="176" t="n">
        <f aca="false" ca="false" dt2D="false" dtr="false" t="normal">SUM(AN23:AN27)</f>
        <v>4.55</v>
      </c>
      <c r="AO22" s="177" t="n">
        <f aca="false" ca="false" dt2D="false" dtr="false" t="normal">ROUND(AN22*AL22, 2)</f>
        <v>0.51</v>
      </c>
      <c r="AP22" s="175" t="n">
        <v>0.1</v>
      </c>
      <c r="AQ22" s="175" t="n">
        <f aca="false" ca="false" dt2D="false" dtr="false" t="normal">ROUND(AP22*100%/80%, 5)</f>
        <v>0.125</v>
      </c>
      <c r="AR22" s="176" t="n"/>
      <c r="AS22" s="176" t="n">
        <f aca="false" ca="false" dt2D="false" dtr="false" t="normal">SUM(AS23:AS27)</f>
        <v>4</v>
      </c>
      <c r="AT22" s="177" t="n">
        <f aca="false" ca="false" dt2D="false" dtr="false" t="normal">ROUND(AS22*AQ22, 2)</f>
        <v>0.5</v>
      </c>
      <c r="AU22" s="175" t="n">
        <v>0.1</v>
      </c>
      <c r="AV22" s="175" t="n">
        <f aca="false" ca="false" dt2D="false" dtr="false" t="normal">ROUND(AU22*100%/70%, 5)</f>
        <v>0.14286</v>
      </c>
      <c r="AW22" s="176" t="n"/>
      <c r="AX22" s="176" t="n">
        <f aca="false" ca="false" dt2D="false" dtr="false" t="normal">SUM(AX23:AX27)</f>
        <v>4.09</v>
      </c>
      <c r="AY22" s="177" t="n">
        <f aca="false" ca="false" dt2D="false" dtr="false" t="normal">ROUND(AX22*AV22, 2)</f>
        <v>0.58</v>
      </c>
      <c r="AZ22" s="175" t="n">
        <v>0.1</v>
      </c>
      <c r="BA22" s="175" t="n">
        <f aca="false" ca="false" dt2D="false" dtr="false" t="normal">ROUND(AZ22*100%/70%, 5)</f>
        <v>0.14286</v>
      </c>
      <c r="BB22" s="176" t="n"/>
      <c r="BC22" s="176" t="n">
        <f aca="false" ca="false" dt2D="false" dtr="false" t="normal">SUM(BC23:BC27)</f>
        <v>4.55</v>
      </c>
      <c r="BD22" s="177" t="n">
        <f aca="false" ca="false" dt2D="false" dtr="false" t="normal">ROUND(BC22*BA22, 2)</f>
        <v>0.65</v>
      </c>
      <c r="BE22" s="175" t="n">
        <v>0.1</v>
      </c>
      <c r="BF22" s="175" t="n">
        <f aca="false" ca="false" dt2D="false" dtr="false" t="normal">ROUND(BE22*100%/70%, 5)</f>
        <v>0.14286</v>
      </c>
      <c r="BG22" s="176" t="n"/>
      <c r="BH22" s="176" t="n">
        <f aca="false" ca="false" dt2D="false" dtr="false" t="normal">SUM(BH23:BH27)</f>
        <v>4.09</v>
      </c>
      <c r="BI22" s="177" t="n">
        <f aca="false" ca="false" dt2D="false" dtr="false" t="normal">ROUND(BH22*BF22, 2)</f>
        <v>0.58</v>
      </c>
      <c r="BJ22" s="175" t="n">
        <v>0.1</v>
      </c>
      <c r="BK22" s="175" t="n">
        <v>0.1</v>
      </c>
      <c r="BL22" s="176" t="n"/>
      <c r="BM22" s="176" t="n">
        <f aca="false" ca="false" dt2D="false" dtr="false" t="normal">SUM(BM23:BM27)</f>
        <v>3</v>
      </c>
      <c r="BN22" s="177" t="n">
        <f aca="false" ca="false" dt2D="false" dtr="false" t="normal">ROUND(BM22*BK22, 2)</f>
        <v>0.3</v>
      </c>
      <c r="BO22" s="175" t="n">
        <v>0.1</v>
      </c>
      <c r="BP22" s="175" t="n">
        <f aca="false" ca="false" dt2D="false" dtr="false" t="normal">ROUND(BO22*100%/90%, 5)</f>
        <v>0.11111</v>
      </c>
      <c r="BQ22" s="176" t="n"/>
      <c r="BR22" s="176" t="n">
        <f aca="false" ca="false" dt2D="false" dtr="false" t="normal">SUM(BR23:BR27)</f>
        <v>3.18</v>
      </c>
      <c r="BS22" s="177" t="n">
        <f aca="false" ca="false" dt2D="false" dtr="false" t="normal">ROUND(BR22*BP22, 2)</f>
        <v>0.35</v>
      </c>
      <c r="BT22" s="175" t="n">
        <v>0.1</v>
      </c>
      <c r="BU22" s="175" t="n">
        <f aca="false" ca="false" dt2D="false" dtr="false" t="normal">BT22</f>
        <v>0.1</v>
      </c>
      <c r="BV22" s="176" t="n"/>
      <c r="BW22" s="176" t="n">
        <f aca="false" ca="false" dt2D="false" dtr="false" t="normal">SUM(BW23:BW27)</f>
        <v>4.09</v>
      </c>
      <c r="BX22" s="177" t="n">
        <f aca="false" ca="false" dt2D="false" dtr="false" t="normal">ROUND(BW22*BU22, 2)</f>
        <v>0.41</v>
      </c>
      <c r="BY22" s="175" t="n">
        <v>0.1</v>
      </c>
      <c r="BZ22" s="175" t="n">
        <f aca="false" ca="false" dt2D="false" dtr="false" t="normal">ROUND(BY22*100%/70%, 5)</f>
        <v>0.14286</v>
      </c>
      <c r="CA22" s="176" t="n"/>
      <c r="CB22" s="176" t="n">
        <f aca="false" ca="false" dt2D="false" dtr="false" t="normal">SUM(CB23:CB27)</f>
        <v>5</v>
      </c>
      <c r="CC22" s="177" t="n">
        <f aca="false" ca="false" dt2D="false" dtr="false" t="normal">ROUND(CB22*BZ22, 2)</f>
        <v>0.71</v>
      </c>
    </row>
    <row customFormat="true" ht="30" outlineLevel="0" r="23" s="188">
      <c r="A23" s="179" t="s">
        <v>121</v>
      </c>
      <c r="B23" s="180" t="n">
        <v>0.1</v>
      </c>
      <c r="C23" s="180" t="n">
        <f aca="false" ca="false" dt2D="false" dtr="false" t="normal">ROUND(B23*100%/55%, 5)</f>
        <v>0.18182</v>
      </c>
      <c r="D23" s="181" t="n">
        <f aca="false" ca="false" dt2D="false" dtr="false" t="normal">VLOOKUP($B2, '3.1. свед. о инветариз'!$A$6:$E$21, 5, 0)</f>
        <v>5</v>
      </c>
      <c r="E23" s="181" t="n">
        <f aca="false" ca="false" dt2D="false" dtr="false" t="normal">ROUND(D23*C23, 2)</f>
        <v>0.91</v>
      </c>
      <c r="F23" s="182" t="n"/>
      <c r="G23" s="180" t="n">
        <v>0.1</v>
      </c>
      <c r="H23" s="180" t="n">
        <f aca="false" ca="false" dt2D="false" dtr="false" t="normal">ROUND(G23*100%/55%, 5)</f>
        <v>0.18182</v>
      </c>
      <c r="I23" s="181" t="n">
        <f aca="false" ca="false" dt2D="false" dtr="false" t="normal">VLOOKUP($G2, '3.1. свед. о инветариз'!$A$6:$E$21, 5, 0)</f>
        <v>5</v>
      </c>
      <c r="J23" s="181" t="n">
        <f aca="false" ca="false" dt2D="false" dtr="false" t="normal">ROUND(I23*H23, 2)</f>
        <v>0.91</v>
      </c>
      <c r="K23" s="182" t="n"/>
      <c r="L23" s="180" t="n">
        <v>0.1</v>
      </c>
      <c r="M23" s="180" t="n">
        <f aca="false" ca="false" dt2D="false" dtr="false" t="normal">ROUND(L23*100%/55%, 5)</f>
        <v>0.18182</v>
      </c>
      <c r="N23" s="181" t="n">
        <f aca="false" ca="false" dt2D="false" dtr="false" t="normal">VLOOKUP($L2, '3.1. свед. о инветариз'!$A$6:$E$21, 5, 0)</f>
        <v>5</v>
      </c>
      <c r="O23" s="181" t="n">
        <f aca="false" ca="false" dt2D="false" dtr="false" t="normal">ROUND(N23*M23, 2)</f>
        <v>0.91</v>
      </c>
      <c r="P23" s="182" t="n"/>
      <c r="Q23" s="180" t="n">
        <v>0.1</v>
      </c>
      <c r="R23" s="180" t="n">
        <f aca="false" ca="false" dt2D="false" dtr="false" t="normal">ROUND(Q23*100%/55%, 5)</f>
        <v>0.18182</v>
      </c>
      <c r="S23" s="181" t="n">
        <f aca="false" ca="false" dt2D="false" dtr="false" t="normal">VLOOKUP($Q2, '3.1. свед. о инветариз'!$A$6:$E$21, 5, 0)</f>
        <v>5</v>
      </c>
      <c r="T23" s="181" t="n">
        <f aca="false" ca="false" dt2D="false" dtr="false" t="normal">ROUND(S23*R23, 2)</f>
        <v>0.91</v>
      </c>
      <c r="U23" s="182" t="n"/>
      <c r="V23" s="180" t="n">
        <v>0.1</v>
      </c>
      <c r="W23" s="180" t="n">
        <f aca="false" ca="false" dt2D="false" dtr="false" t="normal">ROUND(V23*100%/55%, 5)</f>
        <v>0.18182</v>
      </c>
      <c r="X23" s="181" t="n">
        <f aca="false" ca="false" dt2D="false" dtr="false" t="normal">VLOOKUP($V2, '3.1. свед. о инветариз'!$A$6:$E$21, 5, 0)</f>
        <v>5</v>
      </c>
      <c r="Y23" s="181" t="n">
        <f aca="false" ca="false" dt2D="false" dtr="false" t="normal">ROUND(X23*W23, 2)</f>
        <v>0.91</v>
      </c>
      <c r="Z23" s="182" t="n"/>
      <c r="AA23" s="180" t="n">
        <v>0.1</v>
      </c>
      <c r="AB23" s="180" t="n">
        <v>0.1</v>
      </c>
      <c r="AC23" s="181" t="n">
        <f aca="false" ca="false" dt2D="false" dtr="false" t="normal">VLOOKUP($AA2, '3.1. свед. о инветариз'!$A$6:$E$21, 5, 0)</f>
        <v>5</v>
      </c>
      <c r="AD23" s="181" t="n">
        <f aca="false" ca="false" dt2D="false" dtr="false" t="normal">ROUND(AC23*AB23, 2)</f>
        <v>0.5</v>
      </c>
      <c r="AE23" s="182" t="n"/>
      <c r="AF23" s="180" t="n">
        <v>0.1</v>
      </c>
      <c r="AG23" s="180" t="n">
        <v>0.1</v>
      </c>
      <c r="AH23" s="181" t="n">
        <f aca="false" ca="false" dt2D="false" dtr="false" t="normal">VLOOKUP($AF2, '3.1. свед. о инветариз'!$A$6:$E$21, 5, 0)</f>
        <v>5</v>
      </c>
      <c r="AI23" s="181" t="n">
        <f aca="false" ca="false" dt2D="false" dtr="false" t="normal">ROUND(AH23*AG23, 2)</f>
        <v>0.5</v>
      </c>
      <c r="AJ23" s="182" t="n"/>
      <c r="AK23" s="180" t="n">
        <v>0.1</v>
      </c>
      <c r="AL23" s="180" t="n">
        <f aca="false" ca="false" dt2D="false" dtr="false" t="normal">ROUND(AK23*100%/55%, 5)</f>
        <v>0.18182</v>
      </c>
      <c r="AM23" s="181" t="n">
        <f aca="false" ca="false" dt2D="false" dtr="false" t="normal">VLOOKUP($AK2, '3.1. свед. о инветариз'!$A$6:$E$21, 5, 0)</f>
        <v>5</v>
      </c>
      <c r="AN23" s="181" t="n">
        <f aca="false" ca="false" dt2D="false" dtr="false" t="normal">ROUND(AM23*AL23, 2)</f>
        <v>0.91</v>
      </c>
      <c r="AO23" s="182" t="n"/>
      <c r="AP23" s="180" t="n">
        <v>0.1</v>
      </c>
      <c r="AQ23" s="180" t="n">
        <v>0.1</v>
      </c>
      <c r="AR23" s="181" t="n">
        <f aca="false" ca="false" dt2D="false" dtr="false" t="normal">VLOOKUP($AP2, '3.1. свед. о инветариз'!$A$6:$E$21, 5, 0)</f>
        <v>5</v>
      </c>
      <c r="AS23" s="181" t="n">
        <f aca="false" ca="false" dt2D="false" dtr="false" t="normal">ROUND(AR23*AQ23, 2)</f>
        <v>0.5</v>
      </c>
      <c r="AT23" s="182" t="n"/>
      <c r="AU23" s="180" t="n">
        <v>0.1</v>
      </c>
      <c r="AV23" s="180" t="n">
        <f aca="false" ca="false" dt2D="false" dtr="false" t="normal">ROUND(AU23*100%/55%, 5)</f>
        <v>0.18182</v>
      </c>
      <c r="AW23" s="181" t="n">
        <f aca="false" ca="false" dt2D="false" dtr="false" t="normal">VLOOKUP($AU2, '3.1. свед. о инветариз'!$A$6:$E$21, 5, 0)</f>
        <v>5</v>
      </c>
      <c r="AX23" s="181" t="n">
        <f aca="false" ca="false" dt2D="false" dtr="false" t="normal">ROUND(AW23*AV23, 2)</f>
        <v>0.91</v>
      </c>
      <c r="AY23" s="182" t="n"/>
      <c r="AZ23" s="180" t="n">
        <v>0.1</v>
      </c>
      <c r="BA23" s="180" t="n">
        <f aca="false" ca="false" dt2D="false" dtr="false" t="normal">ROUND(AZ23*100%/55%, 5)</f>
        <v>0.18182</v>
      </c>
      <c r="BB23" s="181" t="n">
        <f aca="false" ca="false" dt2D="false" dtr="false" t="normal">VLOOKUP($AZ2, '3.1. свед. о инветариз'!$A$6:$E$21, 5, 0)</f>
        <v>5</v>
      </c>
      <c r="BC23" s="181" t="n">
        <f aca="false" ca="false" dt2D="false" dtr="false" t="normal">ROUND(BB23*BA23, 2)</f>
        <v>0.91</v>
      </c>
      <c r="BD23" s="182" t="n"/>
      <c r="BE23" s="180" t="n">
        <v>0.1</v>
      </c>
      <c r="BF23" s="180" t="n">
        <f aca="false" ca="false" dt2D="false" dtr="false" t="normal">ROUND(BE23*100%/55%, 5)</f>
        <v>0.18182</v>
      </c>
      <c r="BG23" s="181" t="n">
        <f aca="false" ca="false" dt2D="false" dtr="false" t="normal">VLOOKUP($BE2, '3.1. свед. о инветариз'!$A$6:$E$21, 5, 0)</f>
        <v>5</v>
      </c>
      <c r="BH23" s="181" t="n">
        <f aca="false" ca="false" dt2D="false" dtr="false" t="normal">ROUND(BG23*BF23, 2)</f>
        <v>0.91</v>
      </c>
      <c r="BI23" s="182" t="n"/>
      <c r="BJ23" s="180" t="n">
        <v>0.1</v>
      </c>
      <c r="BK23" s="180" t="n">
        <v>0.1</v>
      </c>
      <c r="BL23" s="181" t="n">
        <f aca="false" ca="false" dt2D="false" dtr="false" t="normal">VLOOKUP($BJ2, '3.1. свед. о инветариз'!$A$6:$E$21, 5, 0)</f>
        <v>5</v>
      </c>
      <c r="BM23" s="181" t="n">
        <f aca="false" ca="false" dt2D="false" dtr="false" t="normal">ROUND(BL23*BK23, 2)</f>
        <v>0.5</v>
      </c>
      <c r="BN23" s="182" t="n"/>
      <c r="BO23" s="180" t="n">
        <v>0.1</v>
      </c>
      <c r="BP23" s="180" t="n">
        <f aca="false" ca="false" dt2D="false" dtr="false" t="normal">ROUND(BO23*100%/55%, 5)</f>
        <v>0.18182</v>
      </c>
      <c r="BQ23" s="181" t="n">
        <f aca="false" ca="false" dt2D="false" dtr="false" t="normal">VLOOKUP($BO2, '3.1. свед. о инветариз'!$A$6:$E$21, 5, 0)</f>
        <v>5</v>
      </c>
      <c r="BR23" s="181" t="n">
        <f aca="false" ca="false" dt2D="false" dtr="false" t="normal">ROUND(BQ23*BP23, 2)</f>
        <v>0.91</v>
      </c>
      <c r="BS23" s="182" t="n"/>
      <c r="BT23" s="180" t="n">
        <v>0.1</v>
      </c>
      <c r="BU23" s="180" t="n">
        <f aca="false" ca="false" dt2D="false" dtr="false" t="normal">ROUND(BT23*100%/55%, 5)</f>
        <v>0.18182</v>
      </c>
      <c r="BV23" s="181" t="n">
        <f aca="false" ca="false" dt2D="false" dtr="false" t="normal">VLOOKUP($BT2, '3.1. свед. о инветариз'!$A$6:$E$21, 5, 0)</f>
        <v>5</v>
      </c>
      <c r="BW23" s="181" t="n">
        <f aca="false" ca="false" dt2D="false" dtr="false" t="normal">ROUND(BV23*BU23, 2)</f>
        <v>0.91</v>
      </c>
      <c r="BX23" s="182" t="n"/>
      <c r="BY23" s="180" t="n">
        <v>0.1</v>
      </c>
      <c r="BZ23" s="180" t="n">
        <f aca="false" ca="false" dt2D="false" dtr="false" t="normal">ROUND(BY23*100%/55%, 5)</f>
        <v>0.18182</v>
      </c>
      <c r="CA23" s="181" t="n">
        <f aca="false" ca="false" dt2D="false" dtr="false" t="normal">VLOOKUP($BY2, '3.1. свед. о инветариз'!$A$6:$E$21, 5, 0)</f>
        <v>5</v>
      </c>
      <c r="CB23" s="181" t="n">
        <f aca="false" ca="false" dt2D="false" dtr="false" t="normal">ROUND(CA23*BZ23, 2)</f>
        <v>0.91</v>
      </c>
      <c r="CC23" s="182" t="n"/>
    </row>
    <row customFormat="true" ht="45" outlineLevel="0" r="24" s="189">
      <c r="A24" s="179" t="s">
        <v>122</v>
      </c>
      <c r="B24" s="180" t="n">
        <v>0.2</v>
      </c>
      <c r="C24" s="180" t="n">
        <f aca="false" ca="false" dt2D="false" dtr="false" t="normal">ROUND(B24*100%/55%, 5)</f>
        <v>0.36364</v>
      </c>
      <c r="D24" s="181" t="n">
        <f aca="false" ca="false" dt2D="false" dtr="false" t="normal">VLOOKUP($B2, '3.2 своеврем пред'!$A$6:$E$21, 5, 0)</f>
        <v>5</v>
      </c>
      <c r="E24" s="181" t="n">
        <f aca="false" ca="false" dt2D="false" dtr="false" t="normal">ROUND(D24*C24, 2)</f>
        <v>1.82</v>
      </c>
      <c r="F24" s="182" t="n"/>
      <c r="G24" s="180" t="n">
        <v>0.2</v>
      </c>
      <c r="H24" s="180" t="n">
        <f aca="false" ca="false" dt2D="false" dtr="false" t="normal">ROUND(G24*100%/55%, 5)</f>
        <v>0.36364</v>
      </c>
      <c r="I24" s="181" t="n">
        <f aca="false" ca="false" dt2D="false" dtr="false" t="normal">VLOOKUP($G2, '3.2 своеврем пред'!$A$6:$E$21, 5, 0)</f>
        <v>5</v>
      </c>
      <c r="J24" s="181" t="n">
        <f aca="false" ca="false" dt2D="false" dtr="false" t="normal">ROUND(I24*H24, 2)</f>
        <v>1.82</v>
      </c>
      <c r="K24" s="182" t="n"/>
      <c r="L24" s="180" t="n">
        <v>0.2</v>
      </c>
      <c r="M24" s="180" t="n">
        <f aca="false" ca="false" dt2D="false" dtr="false" t="normal">ROUND(L24*100%/55%, 5)</f>
        <v>0.36364</v>
      </c>
      <c r="N24" s="181" t="n">
        <f aca="false" ca="false" dt2D="false" dtr="false" t="normal">VLOOKUP($L2, '3.2 своеврем пред'!$A$6:$E$21, 5, 0)</f>
        <v>5</v>
      </c>
      <c r="O24" s="181" t="n">
        <f aca="false" ca="false" dt2D="false" dtr="false" t="normal">ROUND(N24*M24, 2)</f>
        <v>1.82</v>
      </c>
      <c r="P24" s="182" t="n"/>
      <c r="Q24" s="180" t="n">
        <v>0.2</v>
      </c>
      <c r="R24" s="180" t="n">
        <f aca="false" ca="false" dt2D="false" dtr="false" t="normal">ROUND(Q24*100%/55%, 5)</f>
        <v>0.36364</v>
      </c>
      <c r="S24" s="181" t="n">
        <f aca="false" ca="false" dt2D="false" dtr="false" t="normal">VLOOKUP($Q2, '3.2 своеврем пред'!$A$6:$E$21, 5, 0)</f>
        <v>5</v>
      </c>
      <c r="T24" s="181" t="n">
        <f aca="false" ca="false" dt2D="false" dtr="false" t="normal">ROUND(S24*R24, 2)</f>
        <v>1.82</v>
      </c>
      <c r="U24" s="182" t="n"/>
      <c r="V24" s="180" t="n">
        <v>0.2</v>
      </c>
      <c r="W24" s="180" t="n">
        <f aca="false" ca="false" dt2D="false" dtr="false" t="normal">ROUND(V24*100%/55%, 5)</f>
        <v>0.36364</v>
      </c>
      <c r="X24" s="181" t="n">
        <f aca="false" ca="false" dt2D="false" dtr="false" t="normal">VLOOKUP($V2, '3.2 своеврем пред'!$A$6:$E$21, 5, 0)</f>
        <v>5</v>
      </c>
      <c r="Y24" s="181" t="n">
        <f aca="false" ca="false" dt2D="false" dtr="false" t="normal">ROUND(X24*W24, 2)</f>
        <v>1.82</v>
      </c>
      <c r="Z24" s="182" t="n"/>
      <c r="AA24" s="180" t="n">
        <v>0.2</v>
      </c>
      <c r="AB24" s="180" t="n">
        <v>0.2</v>
      </c>
      <c r="AC24" s="181" t="n">
        <f aca="false" ca="false" dt2D="false" dtr="false" t="normal">VLOOKUP($AA2, '3.2 своеврем пред'!$A$6:$E$21, 5, 0)</f>
        <v>5</v>
      </c>
      <c r="AD24" s="181" t="n">
        <f aca="false" ca="false" dt2D="false" dtr="false" t="normal">ROUND(AC24*AB24, 2)</f>
        <v>1</v>
      </c>
      <c r="AE24" s="182" t="n"/>
      <c r="AF24" s="180" t="n">
        <v>0.2</v>
      </c>
      <c r="AG24" s="180" t="n">
        <v>0.2</v>
      </c>
      <c r="AH24" s="181" t="n">
        <f aca="false" ca="false" dt2D="false" dtr="false" t="normal">VLOOKUP($AF2, '3.2 своеврем пред'!$A$6:$E$21, 5, 0)</f>
        <v>5</v>
      </c>
      <c r="AI24" s="181" t="n">
        <f aca="false" ca="false" dt2D="false" dtr="false" t="normal">ROUND(AH24*AG24, 2)</f>
        <v>1</v>
      </c>
      <c r="AJ24" s="182" t="n"/>
      <c r="AK24" s="180" t="n">
        <v>0.2</v>
      </c>
      <c r="AL24" s="180" t="n">
        <f aca="false" ca="false" dt2D="false" dtr="false" t="normal">ROUND(AK24*100%/55%, 5)</f>
        <v>0.36364</v>
      </c>
      <c r="AM24" s="181" t="n">
        <f aca="false" ca="false" dt2D="false" dtr="false" t="normal">VLOOKUP($AK2, '3.2 своеврем пред'!$A$6:$E$21, 5, 0)</f>
        <v>5</v>
      </c>
      <c r="AN24" s="181" t="n">
        <f aca="false" ca="false" dt2D="false" dtr="false" t="normal">ROUND(AM24*AL24, 2)</f>
        <v>1.82</v>
      </c>
      <c r="AO24" s="182" t="n"/>
      <c r="AP24" s="180" t="n">
        <v>0.2</v>
      </c>
      <c r="AQ24" s="180" t="n">
        <v>0.2</v>
      </c>
      <c r="AR24" s="181" t="n">
        <f aca="false" ca="false" dt2D="false" dtr="false" t="normal">VLOOKUP($AP2, '3.2 своеврем пред'!$A$6:$E$21, 5, 0)</f>
        <v>5</v>
      </c>
      <c r="AS24" s="181" t="n">
        <f aca="false" ca="false" dt2D="false" dtr="false" t="normal">ROUND(AR24*AQ24, 2)</f>
        <v>1</v>
      </c>
      <c r="AT24" s="182" t="n"/>
      <c r="AU24" s="180" t="n">
        <v>0.2</v>
      </c>
      <c r="AV24" s="180" t="n">
        <f aca="false" ca="false" dt2D="false" dtr="false" t="normal">ROUND(AU24*100%/55%, 5)</f>
        <v>0.36364</v>
      </c>
      <c r="AW24" s="181" t="n">
        <f aca="false" ca="false" dt2D="false" dtr="false" t="normal">VLOOKUP($AU2, '3.2 своеврем пред'!$A$6:$E$21, 5, 0)</f>
        <v>5</v>
      </c>
      <c r="AX24" s="181" t="n">
        <f aca="false" ca="false" dt2D="false" dtr="false" t="normal">ROUND(AW24*AV24, 2)</f>
        <v>1.82</v>
      </c>
      <c r="AY24" s="182" t="n"/>
      <c r="AZ24" s="180" t="n">
        <v>0.2</v>
      </c>
      <c r="BA24" s="180" t="n">
        <f aca="false" ca="false" dt2D="false" dtr="false" t="normal">ROUND(AZ24*100%/55%, 5)</f>
        <v>0.36364</v>
      </c>
      <c r="BB24" s="181" t="n">
        <f aca="false" ca="false" dt2D="false" dtr="false" t="normal">VLOOKUP($AZ2, '3.2 своеврем пред'!$A$6:$E$21, 5, 0)</f>
        <v>5</v>
      </c>
      <c r="BC24" s="181" t="n">
        <f aca="false" ca="false" dt2D="false" dtr="false" t="normal">ROUND(BB24*BA24, 2)</f>
        <v>1.82</v>
      </c>
      <c r="BD24" s="182" t="n"/>
      <c r="BE24" s="180" t="n">
        <v>0.2</v>
      </c>
      <c r="BF24" s="180" t="n">
        <f aca="false" ca="false" dt2D="false" dtr="false" t="normal">ROUND(BE24*100%/55%, 5)</f>
        <v>0.36364</v>
      </c>
      <c r="BG24" s="181" t="n">
        <f aca="false" ca="false" dt2D="false" dtr="false" t="normal">VLOOKUP($BE2, '3.2 своеврем пред'!$A$6:$E$21, 5, 0)</f>
        <v>5</v>
      </c>
      <c r="BH24" s="181" t="n">
        <f aca="false" ca="false" dt2D="false" dtr="false" t="normal">ROUND(BG24*BF24, 2)</f>
        <v>1.82</v>
      </c>
      <c r="BI24" s="182" t="n"/>
      <c r="BJ24" s="180" t="n">
        <v>0.2</v>
      </c>
      <c r="BK24" s="180" t="n">
        <v>0.2</v>
      </c>
      <c r="BL24" s="181" t="n">
        <f aca="false" ca="false" dt2D="false" dtr="false" t="normal">VLOOKUP($BJ2, '3.2 своеврем пред'!$A$6:$E$21, 5, 0)</f>
        <v>5</v>
      </c>
      <c r="BM24" s="181" t="n">
        <f aca="false" ca="false" dt2D="false" dtr="false" t="normal">ROUND(BL24*BK24, 2)</f>
        <v>1</v>
      </c>
      <c r="BN24" s="182" t="n"/>
      <c r="BO24" s="180" t="n">
        <v>0.2</v>
      </c>
      <c r="BP24" s="180" t="n">
        <f aca="false" ca="false" dt2D="false" dtr="false" t="normal">ROUND(BO24*100%/55%, 5)</f>
        <v>0.36364</v>
      </c>
      <c r="BQ24" s="181" t="n">
        <f aca="false" ca="false" dt2D="false" dtr="false" t="normal">VLOOKUP($BO2, '3.2 своеврем пред'!$A$6:$E$21, 5, 0)</f>
        <v>5</v>
      </c>
      <c r="BR24" s="181" t="n">
        <f aca="false" ca="false" dt2D="false" dtr="false" t="normal">ROUND(BQ24*BP24, 2)</f>
        <v>1.82</v>
      </c>
      <c r="BS24" s="182" t="n"/>
      <c r="BT24" s="180" t="n">
        <v>0.2</v>
      </c>
      <c r="BU24" s="180" t="n">
        <f aca="false" ca="false" dt2D="false" dtr="false" t="normal">ROUND(BT24*100%/55%, 5)</f>
        <v>0.36364</v>
      </c>
      <c r="BV24" s="181" t="n">
        <f aca="false" ca="false" dt2D="false" dtr="false" t="normal">VLOOKUP($BT2, '3.2 своеврем пред'!$A$6:$E$21, 5, 0)</f>
        <v>5</v>
      </c>
      <c r="BW24" s="181" t="n">
        <f aca="false" ca="false" dt2D="false" dtr="false" t="normal">ROUND(BV24*BU24, 2)</f>
        <v>1.82</v>
      </c>
      <c r="BX24" s="182" t="n"/>
      <c r="BY24" s="180" t="n">
        <v>0.2</v>
      </c>
      <c r="BZ24" s="180" t="n">
        <f aca="false" ca="false" dt2D="false" dtr="false" t="normal">ROUND(BY24*100%/55%, 5)</f>
        <v>0.36364</v>
      </c>
      <c r="CA24" s="181" t="n">
        <f aca="false" ca="false" dt2D="false" dtr="false" t="normal">VLOOKUP($BY2, '3.2 своеврем пред'!$A$6:$E$21, 5, 0)</f>
        <v>5</v>
      </c>
      <c r="CB24" s="181" t="n">
        <f aca="false" ca="false" dt2D="false" dtr="false" t="normal">ROUND(CA24*BZ24, 2)</f>
        <v>1.82</v>
      </c>
      <c r="CC24" s="182" t="n"/>
    </row>
    <row customFormat="true" ht="60" outlineLevel="0" r="25" s="189">
      <c r="A25" s="179" t="s">
        <v>123</v>
      </c>
      <c r="B25" s="180" t="n">
        <v>0.2</v>
      </c>
      <c r="C25" s="180" t="n">
        <v>0</v>
      </c>
      <c r="D25" s="181" t="n">
        <f aca="false" ca="false" dt2D="false" dtr="false" t="normal">VLOOKUP($B$2, '3.3 своеврем БУ АУ'!$A$6:$E$21, 5, 0)</f>
        <v>5</v>
      </c>
      <c r="E25" s="181" t="n">
        <f aca="false" ca="false" dt2D="false" dtr="false" t="normal">ROUND(D25*C25, 2)</f>
        <v>0</v>
      </c>
      <c r="F25" s="182" t="n"/>
      <c r="G25" s="180" t="n">
        <v>0.2</v>
      </c>
      <c r="H25" s="180" t="n">
        <v>0</v>
      </c>
      <c r="I25" s="181" t="n">
        <f aca="false" ca="false" dt2D="false" dtr="false" t="normal">VLOOKUP($G$2, '3.3 своеврем БУ АУ'!$A$6:$E$21, 5, 0)</f>
        <v>5</v>
      </c>
      <c r="J25" s="181" t="n">
        <f aca="false" ca="false" dt2D="false" dtr="false" t="normal">ROUND(I25*H25, 2)</f>
        <v>0</v>
      </c>
      <c r="K25" s="182" t="n"/>
      <c r="L25" s="180" t="n">
        <v>0.2</v>
      </c>
      <c r="M25" s="180" t="n">
        <v>0</v>
      </c>
      <c r="N25" s="181" t="n">
        <f aca="false" ca="false" dt2D="false" dtr="false" t="normal">VLOOKUP($L$2, '3.3 своеврем БУ АУ'!$A$6:$E$21, 5, 0)</f>
        <v>5</v>
      </c>
      <c r="O25" s="181" t="n">
        <f aca="false" ca="false" dt2D="false" dtr="false" t="normal">ROUND(N25*M25, 2)</f>
        <v>0</v>
      </c>
      <c r="P25" s="182" t="n"/>
      <c r="Q25" s="180" t="n">
        <v>0.2</v>
      </c>
      <c r="R25" s="180" t="n">
        <v>0</v>
      </c>
      <c r="S25" s="181" t="n">
        <f aca="false" ca="false" dt2D="false" dtr="false" t="normal">VLOOKUP($Q$2, '3.3 своеврем БУ АУ'!$A$6:$E$21, 5, 0)</f>
        <v>5</v>
      </c>
      <c r="T25" s="181" t="n">
        <f aca="false" ca="false" dt2D="false" dtr="false" t="normal">ROUND(S25*R25, 2)</f>
        <v>0</v>
      </c>
      <c r="U25" s="182" t="n"/>
      <c r="V25" s="180" t="n">
        <v>0.2</v>
      </c>
      <c r="W25" s="180" t="n">
        <v>0</v>
      </c>
      <c r="X25" s="181" t="n">
        <f aca="false" ca="false" dt2D="false" dtr="false" t="normal">VLOOKUP($V$2, '3.3 своеврем БУ АУ'!$A$6:$E$21, 5, 0)</f>
        <v>5</v>
      </c>
      <c r="Y25" s="181" t="n">
        <f aca="false" ca="false" dt2D="false" dtr="false" t="normal">ROUND(X25*W25, 2)</f>
        <v>0</v>
      </c>
      <c r="Z25" s="182" t="n"/>
      <c r="AA25" s="180" t="n">
        <v>0.2</v>
      </c>
      <c r="AB25" s="180" t="n">
        <v>0.2</v>
      </c>
      <c r="AC25" s="181" t="n">
        <f aca="false" ca="false" dt2D="false" dtr="false" t="normal">VLOOKUP($AA$2, '3.3 своеврем БУ АУ'!$A$6:$E$21, 5, 0)</f>
        <v>5</v>
      </c>
      <c r="AD25" s="181" t="n">
        <f aca="false" ca="false" dt2D="false" dtr="false" t="normal">ROUND(AC25*AB25, 2)</f>
        <v>1</v>
      </c>
      <c r="AE25" s="182" t="n"/>
      <c r="AF25" s="180" t="n">
        <v>0.2</v>
      </c>
      <c r="AG25" s="180" t="n">
        <v>0.2</v>
      </c>
      <c r="AH25" s="181" t="n">
        <f aca="false" ca="false" dt2D="false" dtr="false" t="normal">VLOOKUP($AF$2, '3.3 своеврем БУ АУ'!$A$6:$E$21, 5, 0)</f>
        <v>5</v>
      </c>
      <c r="AI25" s="181" t="n">
        <f aca="false" ca="false" dt2D="false" dtr="false" t="normal">ROUND(AH25*AG25, 2)</f>
        <v>1</v>
      </c>
      <c r="AJ25" s="182" t="n"/>
      <c r="AK25" s="180" t="n">
        <v>0.2</v>
      </c>
      <c r="AL25" s="180" t="n">
        <v>0</v>
      </c>
      <c r="AM25" s="181" t="n">
        <f aca="false" ca="false" dt2D="false" dtr="false" t="normal">VLOOKUP($AK$2, '3.3 своеврем БУ АУ'!$A$6:$E$21, 5, 0)</f>
        <v>5</v>
      </c>
      <c r="AN25" s="181" t="n">
        <f aca="false" ca="false" dt2D="false" dtr="false" t="normal">ROUND(AM25*AL25, 2)</f>
        <v>0</v>
      </c>
      <c r="AO25" s="182" t="n"/>
      <c r="AP25" s="180" t="n">
        <v>0.2</v>
      </c>
      <c r="AQ25" s="180" t="n">
        <v>0.2</v>
      </c>
      <c r="AR25" s="181" t="n">
        <f aca="false" ca="false" dt2D="false" dtr="false" t="normal">VLOOKUP($AP$2, '3.3 своеврем БУ АУ'!$A$6:$E$21, 5, 0)</f>
        <v>5</v>
      </c>
      <c r="AS25" s="181" t="n">
        <f aca="false" ca="false" dt2D="false" dtr="false" t="normal">ROUND(AR25*AQ25, 2)</f>
        <v>1</v>
      </c>
      <c r="AT25" s="182" t="n"/>
      <c r="AU25" s="180" t="n">
        <v>0.2</v>
      </c>
      <c r="AV25" s="180" t="n">
        <v>0</v>
      </c>
      <c r="AW25" s="181" t="n">
        <f aca="false" ca="false" dt2D="false" dtr="false" t="normal">VLOOKUP($AU$2, '3.3 своеврем БУ АУ'!$A$6:$E$21, 5, 0)</f>
        <v>5</v>
      </c>
      <c r="AX25" s="181" t="n">
        <f aca="false" ca="false" dt2D="false" dtr="false" t="normal">ROUND(AW25*AV25, 2)</f>
        <v>0</v>
      </c>
      <c r="AY25" s="182" t="n"/>
      <c r="AZ25" s="180" t="n">
        <v>0.2</v>
      </c>
      <c r="BA25" s="180" t="n">
        <v>0</v>
      </c>
      <c r="BB25" s="181" t="n">
        <f aca="false" ca="false" dt2D="false" dtr="false" t="normal">VLOOKUP($AZ$2, '3.3 своеврем БУ АУ'!$A$6:$E$21, 5, 0)</f>
        <v>5</v>
      </c>
      <c r="BC25" s="181" t="n">
        <f aca="false" ca="false" dt2D="false" dtr="false" t="normal">ROUND(BB25*BA25, 2)</f>
        <v>0</v>
      </c>
      <c r="BD25" s="182" t="n"/>
      <c r="BE25" s="180" t="n">
        <v>0.2</v>
      </c>
      <c r="BF25" s="180" t="n">
        <v>0</v>
      </c>
      <c r="BG25" s="181" t="n">
        <f aca="false" ca="false" dt2D="false" dtr="false" t="normal">VLOOKUP($BE$2, '3.3 своеврем БУ АУ'!$A$6:$E$21, 5, 0)</f>
        <v>5</v>
      </c>
      <c r="BH25" s="181" t="n">
        <f aca="false" ca="false" dt2D="false" dtr="false" t="normal">ROUND(BG25*BF25, 2)</f>
        <v>0</v>
      </c>
      <c r="BI25" s="182" t="n"/>
      <c r="BJ25" s="180" t="n">
        <v>0.2</v>
      </c>
      <c r="BK25" s="180" t="n">
        <v>0.2</v>
      </c>
      <c r="BL25" s="181" t="n">
        <f aca="false" ca="false" dt2D="false" dtr="false" t="normal">VLOOKUP($BJ$2, '3.3 своеврем БУ АУ'!$A$6:$E$21, 5, 0)</f>
        <v>5</v>
      </c>
      <c r="BM25" s="181" t="n">
        <f aca="false" ca="false" dt2D="false" dtr="false" t="normal">ROUND(BL25*BK25, 2)</f>
        <v>1</v>
      </c>
      <c r="BN25" s="182" t="n"/>
      <c r="BO25" s="180" t="n">
        <v>0.2</v>
      </c>
      <c r="BP25" s="180" t="n">
        <v>0</v>
      </c>
      <c r="BQ25" s="181" t="n">
        <f aca="false" ca="false" dt2D="false" dtr="false" t="normal">VLOOKUP($BO$2, '3.3 своеврем БУ АУ'!$A$6:$E$21, 5, 0)</f>
        <v>5</v>
      </c>
      <c r="BR25" s="181" t="n">
        <f aca="false" ca="false" dt2D="false" dtr="false" t="normal">ROUND(BQ25*BP25, 2)</f>
        <v>0</v>
      </c>
      <c r="BS25" s="182" t="n"/>
      <c r="BT25" s="180" t="n">
        <v>0.2</v>
      </c>
      <c r="BU25" s="180" t="n">
        <v>0</v>
      </c>
      <c r="BV25" s="181" t="n">
        <f aca="false" ca="false" dt2D="false" dtr="false" t="normal">VLOOKUP($BT$2, '3.3 своеврем БУ АУ'!$A$6:$E$21, 5, 0)</f>
        <v>5</v>
      </c>
      <c r="BW25" s="181" t="n">
        <f aca="false" ca="false" dt2D="false" dtr="false" t="normal">ROUND(BV25*BU25, 2)</f>
        <v>0</v>
      </c>
      <c r="BX25" s="182" t="n"/>
      <c r="BY25" s="180" t="n">
        <v>0.2</v>
      </c>
      <c r="BZ25" s="180" t="n">
        <v>0</v>
      </c>
      <c r="CA25" s="181" t="n">
        <f aca="false" ca="false" dt2D="false" dtr="false" t="normal">VLOOKUP($BY$2, '3.3 своеврем БУ АУ'!$A$6:$E$21, 5, 0)</f>
        <v>5</v>
      </c>
      <c r="CB25" s="181" t="n">
        <f aca="false" ca="false" dt2D="false" dtr="false" t="normal">ROUND(CA25*BZ25, 2)</f>
        <v>0</v>
      </c>
      <c r="CC25" s="182" t="n"/>
    </row>
    <row customFormat="true" ht="30" outlineLevel="0" r="26" s="189">
      <c r="A26" s="179" t="s">
        <v>124</v>
      </c>
      <c r="B26" s="180" t="n">
        <v>0.25</v>
      </c>
      <c r="C26" s="180" t="n">
        <f aca="false" ca="false" dt2D="false" dtr="false" t="normal">ROUND(B26*100%/55%, 5)</f>
        <v>0.45455</v>
      </c>
      <c r="D26" s="181" t="n">
        <f aca="false" ca="false" dt2D="false" dtr="false" t="normal">VLOOKUP($B$2, '3.4 Кач-во отчетн'!$A$6:$E$21, 5, 0)</f>
        <v>5</v>
      </c>
      <c r="E26" s="181" t="n">
        <f aca="false" ca="false" dt2D="false" dtr="false" t="normal">ROUND(D26*C26, 2)</f>
        <v>2.27</v>
      </c>
      <c r="F26" s="182" t="n"/>
      <c r="G26" s="180" t="n">
        <v>0.25</v>
      </c>
      <c r="H26" s="180" t="n">
        <f aca="false" ca="false" dt2D="false" dtr="false" t="normal">ROUND(G26*100%/55%, 5)</f>
        <v>0.45455</v>
      </c>
      <c r="I26" s="181" t="n">
        <f aca="false" ca="false" dt2D="false" dtr="false" t="normal">VLOOKUP($G$2, '3.4 Кач-во отчетн'!$A$6:$E$21, 5, 0)</f>
        <v>4</v>
      </c>
      <c r="J26" s="181" t="n">
        <f aca="false" ca="false" dt2D="false" dtr="false" t="normal">ROUND(I26*H26, 2)</f>
        <v>1.82</v>
      </c>
      <c r="K26" s="182" t="n"/>
      <c r="L26" s="180" t="n">
        <v>0.25</v>
      </c>
      <c r="M26" s="180" t="n">
        <f aca="false" ca="false" dt2D="false" dtr="false" t="normal">ROUND(L26*100%/55%, 5)</f>
        <v>0.45455</v>
      </c>
      <c r="N26" s="181" t="n">
        <f aca="false" ca="false" dt2D="false" dtr="false" t="normal">VLOOKUP($L$2, '3.4 Кач-во отчетн'!$A$6:$E$21, 5, 0)</f>
        <v>1</v>
      </c>
      <c r="O26" s="181" t="n">
        <f aca="false" ca="false" dt2D="false" dtr="false" t="normal">ROUND(N26*M26, 2)</f>
        <v>0.45</v>
      </c>
      <c r="P26" s="182" t="n"/>
      <c r="Q26" s="180" t="n">
        <v>0.25</v>
      </c>
      <c r="R26" s="180" t="n">
        <f aca="false" ca="false" dt2D="false" dtr="false" t="normal">ROUND(Q26*100%/55%, 5)</f>
        <v>0.45455</v>
      </c>
      <c r="S26" s="181" t="n">
        <f aca="false" ca="false" dt2D="false" dtr="false" t="normal">VLOOKUP($Q$2, '3.4 Кач-во отчетн'!$A$6:$E$21, 5, 0)</f>
        <v>5</v>
      </c>
      <c r="T26" s="181" t="n">
        <f aca="false" ca="false" dt2D="false" dtr="false" t="normal">ROUND(S26*R26, 2)</f>
        <v>2.27</v>
      </c>
      <c r="U26" s="182" t="n"/>
      <c r="V26" s="180" t="n">
        <v>0.25</v>
      </c>
      <c r="W26" s="180" t="n">
        <f aca="false" ca="false" dt2D="false" dtr="false" t="normal">ROUND(V26*100%/55%, 5)</f>
        <v>0.45455</v>
      </c>
      <c r="X26" s="181" t="n">
        <f aca="false" ca="false" dt2D="false" dtr="false" t="normal">VLOOKUP($V$2, '3.4 Кач-во отчетн'!$A$6:$E$21, 5, 0)</f>
        <v>2</v>
      </c>
      <c r="Y26" s="181" t="n">
        <f aca="false" ca="false" dt2D="false" dtr="false" t="normal">ROUND(X26*W26, 2)</f>
        <v>0.91</v>
      </c>
      <c r="Z26" s="182" t="n"/>
      <c r="AA26" s="180" t="n">
        <v>0.25</v>
      </c>
      <c r="AB26" s="180" t="n">
        <v>0.25</v>
      </c>
      <c r="AC26" s="181" t="n">
        <f aca="false" ca="false" dt2D="false" dtr="false" t="normal">VLOOKUP($AA$2, '3.4 Кач-во отчетн'!$A$6:$E$21, 5, 0)</f>
        <v>3</v>
      </c>
      <c r="AD26" s="181" t="n">
        <f aca="false" ca="false" dt2D="false" dtr="false" t="normal">ROUND(AC26*AB26, 2)</f>
        <v>0.75</v>
      </c>
      <c r="AE26" s="182" t="n"/>
      <c r="AF26" s="180" t="n">
        <v>0.25</v>
      </c>
      <c r="AG26" s="180" t="n">
        <v>0.25</v>
      </c>
      <c r="AH26" s="181" t="n">
        <f aca="false" ca="false" dt2D="false" dtr="false" t="normal">VLOOKUP($AF$2, '3.4 Кач-во отчетн'!$A$6:$E$21, 5, 0)</f>
        <v>2</v>
      </c>
      <c r="AI26" s="181" t="n">
        <f aca="false" ca="false" dt2D="false" dtr="false" t="normal">ROUND(AH26*AG26, 2)</f>
        <v>0.5</v>
      </c>
      <c r="AJ26" s="182" t="n"/>
      <c r="AK26" s="180" t="n">
        <v>0.25</v>
      </c>
      <c r="AL26" s="180" t="n">
        <f aca="false" ca="false" dt2D="false" dtr="false" t="normal">ROUND(AK26*100%/55%, 5)</f>
        <v>0.45455</v>
      </c>
      <c r="AM26" s="181" t="n">
        <f aca="false" ca="false" dt2D="false" dtr="false" t="normal">VLOOKUP($AK$2, '3.4 Кач-во отчетн'!$A$6:$E$21, 5, 0)</f>
        <v>4</v>
      </c>
      <c r="AN26" s="181" t="n">
        <f aca="false" ca="false" dt2D="false" dtr="false" t="normal">ROUND(AM26*AL26, 2)</f>
        <v>1.82</v>
      </c>
      <c r="AO26" s="182" t="n"/>
      <c r="AP26" s="180" t="n">
        <v>0.25</v>
      </c>
      <c r="AQ26" s="180" t="n">
        <v>0.25</v>
      </c>
      <c r="AR26" s="181" t="n">
        <f aca="false" ca="false" dt2D="false" dtr="false" t="normal">VLOOKUP($AP$2, '3.4 Кач-во отчетн'!$A$6:$E$21, 5, 0)</f>
        <v>3</v>
      </c>
      <c r="AS26" s="181" t="n">
        <f aca="false" ca="false" dt2D="false" dtr="false" t="normal">ROUND(AR26*AQ26, 2)</f>
        <v>0.75</v>
      </c>
      <c r="AT26" s="182" t="n"/>
      <c r="AU26" s="180" t="n">
        <v>0.25</v>
      </c>
      <c r="AV26" s="180" t="n">
        <f aca="false" ca="false" dt2D="false" dtr="false" t="normal">ROUND(AU26*100%/55%, 5)</f>
        <v>0.45455</v>
      </c>
      <c r="AW26" s="181" t="n">
        <f aca="false" ca="false" dt2D="false" dtr="false" t="normal">VLOOKUP($AU$2, '3.4 Кач-во отчетн'!$A$6:$E$21, 5, 0)</f>
        <v>3</v>
      </c>
      <c r="AX26" s="181" t="n">
        <f aca="false" ca="false" dt2D="false" dtr="false" t="normal">ROUND(AW26*AV26, 2)</f>
        <v>1.36</v>
      </c>
      <c r="AY26" s="182" t="n"/>
      <c r="AZ26" s="180" t="n">
        <v>0.25</v>
      </c>
      <c r="BA26" s="180" t="n">
        <f aca="false" ca="false" dt2D="false" dtr="false" t="normal">ROUND(AZ26*100%/55%, 5)</f>
        <v>0.45455</v>
      </c>
      <c r="BB26" s="181" t="n">
        <f aca="false" ca="false" dt2D="false" dtr="false" t="normal">VLOOKUP($AZ$2, '3.4 Кач-во отчетн'!$A$6:$E$21, 5, 0)</f>
        <v>4</v>
      </c>
      <c r="BC26" s="181" t="n">
        <f aca="false" ca="false" dt2D="false" dtr="false" t="normal">ROUND(BB26*BA26, 2)</f>
        <v>1.82</v>
      </c>
      <c r="BD26" s="182" t="n"/>
      <c r="BE26" s="180" t="n">
        <v>0.25</v>
      </c>
      <c r="BF26" s="180" t="n">
        <f aca="false" ca="false" dt2D="false" dtr="false" t="normal">ROUND(BE26*100%/55%, 5)</f>
        <v>0.45455</v>
      </c>
      <c r="BG26" s="181" t="n">
        <f aca="false" ca="false" dt2D="false" dtr="false" t="normal">VLOOKUP($BE$2, '3.4 Кач-во отчетн'!$A$6:$E$21, 5, 0)</f>
        <v>3</v>
      </c>
      <c r="BH26" s="181" t="n">
        <f aca="false" ca="false" dt2D="false" dtr="false" t="normal">ROUND(BG26*BF26, 2)</f>
        <v>1.36</v>
      </c>
      <c r="BI26" s="182" t="n"/>
      <c r="BJ26" s="180" t="n">
        <v>0.25</v>
      </c>
      <c r="BK26" s="180" t="n">
        <v>0.25</v>
      </c>
      <c r="BL26" s="181" t="n">
        <f aca="false" ca="false" dt2D="false" dtr="false" t="normal">VLOOKUP($BJ$2, '3.4 Кач-во отчетн'!$A$6:$E$21, 5, 0)</f>
        <v>2</v>
      </c>
      <c r="BM26" s="181" t="n">
        <f aca="false" ca="false" dt2D="false" dtr="false" t="normal">ROUND(BL26*BK26, 2)</f>
        <v>0.5</v>
      </c>
      <c r="BN26" s="182" t="n"/>
      <c r="BO26" s="180" t="n">
        <v>0.25</v>
      </c>
      <c r="BP26" s="180" t="n">
        <f aca="false" ca="false" dt2D="false" dtr="false" t="normal">ROUND(BO26*100%/55%, 5)</f>
        <v>0.45455</v>
      </c>
      <c r="BQ26" s="181" t="n">
        <f aca="false" ca="false" dt2D="false" dtr="false" t="normal">VLOOKUP($BO$2, '3.4 Кач-во отчетн'!$A$6:$E$21, 5, 0)</f>
        <v>1</v>
      </c>
      <c r="BR26" s="181" t="n">
        <f aca="false" ca="false" dt2D="false" dtr="false" t="normal">ROUND(BQ26*BP26, 2)</f>
        <v>0.45</v>
      </c>
      <c r="BS26" s="182" t="n"/>
      <c r="BT26" s="180" t="n">
        <v>0.25</v>
      </c>
      <c r="BU26" s="180" t="n">
        <f aca="false" ca="false" dt2D="false" dtr="false" t="normal">ROUND(BT26*100%/55%, 5)</f>
        <v>0.45455</v>
      </c>
      <c r="BV26" s="181" t="n">
        <f aca="false" ca="false" dt2D="false" dtr="false" t="normal">VLOOKUP($BT$2, '3.4 Кач-во отчетн'!$A$6:$E$21, 5, 0)</f>
        <v>3</v>
      </c>
      <c r="BW26" s="181" t="n">
        <f aca="false" ca="false" dt2D="false" dtr="false" t="normal">ROUND(BV26*BU26, 2)</f>
        <v>1.36</v>
      </c>
      <c r="BX26" s="182" t="n"/>
      <c r="BY26" s="180" t="n">
        <v>0.25</v>
      </c>
      <c r="BZ26" s="180" t="n">
        <f aca="false" ca="false" dt2D="false" dtr="false" t="normal">ROUND(BY26*100%/55%, 5)</f>
        <v>0.45455</v>
      </c>
      <c r="CA26" s="181" t="n">
        <f aca="false" ca="false" dt2D="false" dtr="false" t="normal">VLOOKUP($BY$2, '3.4 Кач-во отчетн'!$A$6:$E$21, 5, 0)</f>
        <v>5</v>
      </c>
      <c r="CB26" s="181" t="n">
        <f aca="false" ca="false" dt2D="false" dtr="false" t="normal">ROUND(CA26*BZ26, 2)</f>
        <v>2.27</v>
      </c>
      <c r="CC26" s="182" t="n"/>
    </row>
    <row customFormat="true" ht="45" outlineLevel="0" r="27" s="189">
      <c r="A27" s="179" t="s">
        <v>125</v>
      </c>
      <c r="B27" s="180" t="n">
        <v>0.25</v>
      </c>
      <c r="C27" s="180" t="n">
        <v>0</v>
      </c>
      <c r="D27" s="181" t="n">
        <f aca="false" ca="false" dt2D="false" dtr="false" t="normal">VLOOKUP($B$2, '3.5 Кач-во отчетн БУ АУ'!$A$6:$E$21, 5, 0)</f>
        <v>0</v>
      </c>
      <c r="E27" s="181" t="n">
        <f aca="false" ca="false" dt2D="false" dtr="false" t="normal">ROUND(D27*C27, 2)</f>
        <v>0</v>
      </c>
      <c r="F27" s="182" t="n"/>
      <c r="G27" s="180" t="n">
        <v>0.25</v>
      </c>
      <c r="H27" s="180" t="n">
        <v>0</v>
      </c>
      <c r="I27" s="181" t="n">
        <f aca="false" ca="false" dt2D="false" dtr="false" t="normal">VLOOKUP($G$2, '3.5 Кач-во отчетн БУ АУ'!$A$6:$E$21, 5, 0)</f>
        <v>0</v>
      </c>
      <c r="J27" s="181" t="n">
        <f aca="false" ca="false" dt2D="false" dtr="false" t="normal">ROUND(I27*H27, 2)</f>
        <v>0</v>
      </c>
      <c r="K27" s="182" t="n"/>
      <c r="L27" s="180" t="n">
        <v>0.25</v>
      </c>
      <c r="M27" s="180" t="n">
        <v>0</v>
      </c>
      <c r="N27" s="181" t="n">
        <f aca="false" ca="false" dt2D="false" dtr="false" t="normal">VLOOKUP($L$2, '3.5 Кач-во отчетн БУ АУ'!$A$6:$E$21, 5, 0)</f>
        <v>0</v>
      </c>
      <c r="O27" s="181" t="n">
        <f aca="false" ca="false" dt2D="false" dtr="false" t="normal">ROUND(N27*M27, 2)</f>
        <v>0</v>
      </c>
      <c r="P27" s="182" t="n"/>
      <c r="Q27" s="180" t="n">
        <v>0.25</v>
      </c>
      <c r="R27" s="180" t="n">
        <v>0</v>
      </c>
      <c r="S27" s="181" t="n">
        <f aca="false" ca="false" dt2D="false" dtr="false" t="normal">VLOOKUP($Q$2, '3.5 Кач-во отчетн БУ АУ'!$A$6:$E$21, 5, 0)</f>
        <v>0</v>
      </c>
      <c r="T27" s="181" t="n">
        <f aca="false" ca="false" dt2D="false" dtr="false" t="normal">ROUND(S27*R27, 2)</f>
        <v>0</v>
      </c>
      <c r="U27" s="182" t="n"/>
      <c r="V27" s="180" t="n">
        <v>0.25</v>
      </c>
      <c r="W27" s="180" t="n">
        <v>0</v>
      </c>
      <c r="X27" s="181" t="n">
        <f aca="false" ca="false" dt2D="false" dtr="false" t="normal">VLOOKUP($V$2, '3.5 Кач-во отчетн БУ АУ'!$A$6:$E$21, 5, 0)</f>
        <v>0</v>
      </c>
      <c r="Y27" s="181" t="n">
        <f aca="false" ca="false" dt2D="false" dtr="false" t="normal">ROUND(X27*W27, 2)</f>
        <v>0</v>
      </c>
      <c r="Z27" s="182" t="n"/>
      <c r="AA27" s="180" t="n">
        <v>0.25</v>
      </c>
      <c r="AB27" s="180" t="n">
        <v>0.25</v>
      </c>
      <c r="AC27" s="181" t="n">
        <f aca="false" ca="false" dt2D="false" dtr="false" t="normal">VLOOKUP($AA$2, '3.5 Кач-во отчетн БУ АУ'!$A$6:$E$21, 5, 0)</f>
        <v>4</v>
      </c>
      <c r="AD27" s="181" t="n">
        <f aca="false" ca="false" dt2D="false" dtr="false" t="normal">ROUND(AC27*AB27, 2)</f>
        <v>1</v>
      </c>
      <c r="AE27" s="182" t="n"/>
      <c r="AF27" s="180" t="n">
        <v>0.25</v>
      </c>
      <c r="AG27" s="180" t="n">
        <v>0.25</v>
      </c>
      <c r="AH27" s="181" t="n">
        <f aca="false" ca="false" dt2D="false" dtr="false" t="normal">VLOOKUP($AF$2, '3.5 Кач-во отчетн БУ АУ'!$A$6:$E$21, 5, 0)</f>
        <v>0</v>
      </c>
      <c r="AI27" s="181" t="n">
        <f aca="false" ca="false" dt2D="false" dtr="false" t="normal">ROUND(AH27*AG27, 2)</f>
        <v>0</v>
      </c>
      <c r="AJ27" s="182" t="n"/>
      <c r="AK27" s="180" t="n">
        <v>0.25</v>
      </c>
      <c r="AL27" s="180" t="n">
        <v>0</v>
      </c>
      <c r="AM27" s="181" t="n">
        <f aca="false" ca="false" dt2D="false" dtr="false" t="normal">VLOOKUP($AK$2, '3.5 Кач-во отчетн БУ АУ'!$A$6:$E$21, 5, 0)</f>
        <v>0</v>
      </c>
      <c r="AN27" s="181" t="n">
        <f aca="false" ca="false" dt2D="false" dtr="false" t="normal">ROUND(AM27*AL27, 2)</f>
        <v>0</v>
      </c>
      <c r="AO27" s="182" t="n"/>
      <c r="AP27" s="180" t="n">
        <v>0.25</v>
      </c>
      <c r="AQ27" s="180" t="n">
        <v>0.25</v>
      </c>
      <c r="AR27" s="181" t="n">
        <f aca="false" ca="false" dt2D="false" dtr="false" t="normal">VLOOKUP($AP$2, '3.5 Кач-во отчетн БУ АУ'!$A$6:$E$21, 5, 0)</f>
        <v>3</v>
      </c>
      <c r="AS27" s="181" t="n">
        <f aca="false" ca="false" dt2D="false" dtr="false" t="normal">ROUND(AR27*AQ27, 2)</f>
        <v>0.75</v>
      </c>
      <c r="AT27" s="182" t="n"/>
      <c r="AU27" s="180" t="n">
        <v>0.25</v>
      </c>
      <c r="AV27" s="180" t="n">
        <v>0</v>
      </c>
      <c r="AW27" s="181" t="n">
        <f aca="false" ca="false" dt2D="false" dtr="false" t="normal">VLOOKUP($AU$2, '3.5 Кач-во отчетн БУ АУ'!$A$6:$E$21, 5, 0)</f>
        <v>0</v>
      </c>
      <c r="AX27" s="181" t="n">
        <f aca="false" ca="false" dt2D="false" dtr="false" t="normal">ROUND(AW27*AV27, 2)</f>
        <v>0</v>
      </c>
      <c r="AY27" s="182" t="n"/>
      <c r="AZ27" s="180" t="n">
        <v>0.25</v>
      </c>
      <c r="BA27" s="180" t="n">
        <v>0</v>
      </c>
      <c r="BB27" s="181" t="n">
        <f aca="false" ca="false" dt2D="false" dtr="false" t="normal">VLOOKUP($AZ$2, '3.5 Кач-во отчетн БУ АУ'!$A$6:$E$21, 5, 0)</f>
        <v>0</v>
      </c>
      <c r="BC27" s="181" t="n">
        <f aca="false" ca="false" dt2D="false" dtr="false" t="normal">ROUND(BB27*BA27, 2)</f>
        <v>0</v>
      </c>
      <c r="BD27" s="182" t="n"/>
      <c r="BE27" s="180" t="n">
        <v>0.25</v>
      </c>
      <c r="BF27" s="180" t="n">
        <v>0</v>
      </c>
      <c r="BG27" s="181" t="n">
        <f aca="false" ca="false" dt2D="false" dtr="false" t="normal">VLOOKUP($BE$2, '3.5 Кач-во отчетн БУ АУ'!$A$6:$E$21, 5, 0)</f>
        <v>0</v>
      </c>
      <c r="BH27" s="181" t="n">
        <f aca="false" ca="false" dt2D="false" dtr="false" t="normal">ROUND(BG27*BF27, 2)</f>
        <v>0</v>
      </c>
      <c r="BI27" s="182" t="n"/>
      <c r="BJ27" s="180" t="n">
        <v>0.25</v>
      </c>
      <c r="BK27" s="180" t="n">
        <v>0.25</v>
      </c>
      <c r="BL27" s="181" t="n">
        <f aca="false" ca="false" dt2D="false" dtr="false" t="normal">VLOOKUP($BJ$2, '3.5 Кач-во отчетн БУ АУ'!$A$6:$E$21, 5, 0)</f>
        <v>0</v>
      </c>
      <c r="BM27" s="181" t="n">
        <f aca="false" ca="false" dt2D="false" dtr="false" t="normal">ROUND(BL27*BK27, 2)</f>
        <v>0</v>
      </c>
      <c r="BN27" s="182" t="n"/>
      <c r="BO27" s="180" t="n">
        <v>0.25</v>
      </c>
      <c r="BP27" s="180" t="n">
        <v>0</v>
      </c>
      <c r="BQ27" s="181" t="n">
        <f aca="false" ca="false" dt2D="false" dtr="false" t="normal">VLOOKUP($BO$2, '3.5 Кач-во отчетн БУ АУ'!$A$6:$E$21, 5, 0)</f>
        <v>0</v>
      </c>
      <c r="BR27" s="181" t="n">
        <f aca="false" ca="false" dt2D="false" dtr="false" t="normal">ROUND(BQ27*BP27, 2)</f>
        <v>0</v>
      </c>
      <c r="BS27" s="182" t="n"/>
      <c r="BT27" s="180" t="n">
        <v>0.25</v>
      </c>
      <c r="BU27" s="180" t="n">
        <v>0</v>
      </c>
      <c r="BV27" s="181" t="n">
        <f aca="false" ca="false" dt2D="false" dtr="false" t="normal">VLOOKUP($BT$2, '3.5 Кач-во отчетн БУ АУ'!$A$6:$E$21, 5, 0)</f>
        <v>0</v>
      </c>
      <c r="BW27" s="181" t="n">
        <f aca="false" ca="false" dt2D="false" dtr="false" t="normal">ROUND(BV27*BU27, 2)</f>
        <v>0</v>
      </c>
      <c r="BX27" s="182" t="n"/>
      <c r="BY27" s="180" t="n">
        <v>0.25</v>
      </c>
      <c r="BZ27" s="180" t="n">
        <v>0</v>
      </c>
      <c r="CA27" s="181" t="n">
        <f aca="false" ca="false" dt2D="false" dtr="false" t="normal">VLOOKUP($BY$2, '3.5 Кач-во отчетн БУ АУ'!$A$6:$E$21, 5, 0)</f>
        <v>0</v>
      </c>
      <c r="CB27" s="181" t="n">
        <f aca="false" ca="false" dt2D="false" dtr="false" t="normal">ROUND(CA27*BZ27, 2)</f>
        <v>0</v>
      </c>
      <c r="CC27" s="182" t="n"/>
    </row>
    <row customFormat="true" ht="42.75" outlineLevel="0" r="28" s="191">
      <c r="A28" s="174" t="s">
        <v>126</v>
      </c>
      <c r="B28" s="175" t="n">
        <v>0.2</v>
      </c>
      <c r="C28" s="175" t="n"/>
      <c r="D28" s="176" t="n"/>
      <c r="E28" s="176" t="n">
        <f aca="false" ca="false" dt2D="false" dtr="false" t="normal">SUM(E29:E30)</f>
        <v>0</v>
      </c>
      <c r="F28" s="177" t="n">
        <f aca="false" ca="false" dt2D="false" dtr="false" t="normal">ROUND(E28*C28, 2)</f>
        <v>0</v>
      </c>
      <c r="G28" s="175" t="n">
        <v>0.2</v>
      </c>
      <c r="H28" s="175" t="n">
        <f aca="false" ca="false" dt2D="false" dtr="false" t="normal">G28</f>
        <v>0.2</v>
      </c>
      <c r="I28" s="176" t="n"/>
      <c r="J28" s="176" t="n">
        <f aca="false" ca="false" dt2D="false" dtr="false" t="normal">SUM(J29:J30)</f>
        <v>3</v>
      </c>
      <c r="K28" s="177" t="n">
        <f aca="false" ca="false" dt2D="false" dtr="false" t="normal">ROUND(J28*H28, 2)</f>
        <v>0.6</v>
      </c>
      <c r="L28" s="175" t="n">
        <v>0.2</v>
      </c>
      <c r="M28" s="175" t="n"/>
      <c r="N28" s="176" t="n"/>
      <c r="O28" s="176" t="n">
        <f aca="false" ca="false" dt2D="false" dtr="false" t="normal">SUM(O29:O30)</f>
        <v>0</v>
      </c>
      <c r="P28" s="177" t="n">
        <f aca="false" ca="false" dt2D="false" dtr="false" t="normal">ROUND(O28*M28, 2)</f>
        <v>0</v>
      </c>
      <c r="Q28" s="175" t="n">
        <v>0.2</v>
      </c>
      <c r="R28" s="175" t="n"/>
      <c r="S28" s="176" t="n"/>
      <c r="T28" s="176" t="n">
        <f aca="false" ca="false" dt2D="false" dtr="false" t="normal">SUM(T29:T30)</f>
        <v>0</v>
      </c>
      <c r="U28" s="177" t="n">
        <f aca="false" ca="false" dt2D="false" dtr="false" t="normal">ROUND(T28*R28, 2)</f>
        <v>0</v>
      </c>
      <c r="V28" s="175" t="n">
        <v>0.2</v>
      </c>
      <c r="W28" s="175" t="n"/>
      <c r="X28" s="176" t="n"/>
      <c r="Y28" s="176" t="n">
        <f aca="false" ca="false" dt2D="false" dtr="false" t="normal">SUM(Y29:Y30)</f>
        <v>0</v>
      </c>
      <c r="Z28" s="177" t="n">
        <f aca="false" ca="false" dt2D="false" dtr="false" t="normal">ROUND(Y28*W28, 2)</f>
        <v>0</v>
      </c>
      <c r="AA28" s="175" t="n">
        <v>0.2</v>
      </c>
      <c r="AB28" s="175" t="n"/>
      <c r="AC28" s="176" t="n"/>
      <c r="AD28" s="176" t="n">
        <f aca="false" ca="false" dt2D="false" dtr="false" t="normal">SUM(AD29:AD30)</f>
        <v>0</v>
      </c>
      <c r="AE28" s="177" t="n">
        <f aca="false" ca="false" dt2D="false" dtr="false" t="normal">ROUND(AD28*AB28, 2)</f>
        <v>0</v>
      </c>
      <c r="AF28" s="175" t="n">
        <v>0.2</v>
      </c>
      <c r="AG28" s="175" t="n"/>
      <c r="AH28" s="176" t="n"/>
      <c r="AI28" s="176" t="n">
        <f aca="false" ca="false" dt2D="false" dtr="false" t="normal">SUM(AI29:AI30)</f>
        <v>0</v>
      </c>
      <c r="AJ28" s="177" t="n">
        <f aca="false" ca="false" dt2D="false" dtr="false" t="normal">ROUND(AI28*AG28, 2)</f>
        <v>0</v>
      </c>
      <c r="AK28" s="175" t="n">
        <v>0.2</v>
      </c>
      <c r="AL28" s="175" t="n">
        <f aca="false" ca="false" dt2D="false" dtr="false" t="normal">ROUND(AK28*100%/90%, 5)</f>
        <v>0.22222</v>
      </c>
      <c r="AM28" s="176" t="n"/>
      <c r="AN28" s="176" t="n">
        <f aca="false" ca="false" dt2D="false" dtr="false" t="normal">SUM(AN29:AN30)</f>
        <v>5</v>
      </c>
      <c r="AO28" s="177" t="n">
        <f aca="false" ca="false" dt2D="false" dtr="false" t="normal">ROUND(AN28*AL28, 2)</f>
        <v>1.11</v>
      </c>
      <c r="AP28" s="175" t="n">
        <v>0.2</v>
      </c>
      <c r="AQ28" s="175" t="n"/>
      <c r="AR28" s="176" t="n"/>
      <c r="AS28" s="176" t="n">
        <f aca="false" ca="false" dt2D="false" dtr="false" t="normal">SUM(AS29:AS30)</f>
        <v>0</v>
      </c>
      <c r="AT28" s="177" t="n">
        <f aca="false" ca="false" dt2D="false" dtr="false" t="normal">ROUND(AS28*AQ28, 2)</f>
        <v>0</v>
      </c>
      <c r="AU28" s="175" t="n">
        <v>0.2</v>
      </c>
      <c r="AV28" s="175" t="n"/>
      <c r="AW28" s="176" t="n"/>
      <c r="AX28" s="176" t="n">
        <f aca="false" ca="false" dt2D="false" dtr="false" t="normal">SUM(AX29:AX30)</f>
        <v>0</v>
      </c>
      <c r="AY28" s="177" t="n">
        <f aca="false" ca="false" dt2D="false" dtr="false" t="normal">ROUND(AX28*AV28, 2)</f>
        <v>0</v>
      </c>
      <c r="AZ28" s="175" t="n">
        <v>0.2</v>
      </c>
      <c r="BA28" s="175" t="n"/>
      <c r="BB28" s="176" t="n"/>
      <c r="BC28" s="176" t="n">
        <f aca="false" ca="false" dt2D="false" dtr="false" t="normal">SUM(BC29:BC30)</f>
        <v>0</v>
      </c>
      <c r="BD28" s="177" t="n">
        <f aca="false" ca="false" dt2D="false" dtr="false" t="normal">ROUND(BC28*BA28, 2)</f>
        <v>0</v>
      </c>
      <c r="BE28" s="175" t="n">
        <v>0.2</v>
      </c>
      <c r="BF28" s="175" t="n"/>
      <c r="BG28" s="176" t="n"/>
      <c r="BH28" s="176" t="n">
        <f aca="false" ca="false" dt2D="false" dtr="false" t="normal">SUM(BH29:BH30)</f>
        <v>0</v>
      </c>
      <c r="BI28" s="177" t="n">
        <f aca="false" ca="false" dt2D="false" dtr="false" t="normal">ROUND(BH28*BF28, 2)</f>
        <v>0</v>
      </c>
      <c r="BJ28" s="175" t="n">
        <v>0.2</v>
      </c>
      <c r="BK28" s="175" t="n">
        <v>0.2</v>
      </c>
      <c r="BL28" s="176" t="n"/>
      <c r="BM28" s="176" t="n">
        <f aca="false" ca="false" dt2D="false" dtr="false" t="normal">SUM(BM29:BM30)</f>
        <v>2</v>
      </c>
      <c r="BN28" s="177" t="n">
        <f aca="false" ca="false" dt2D="false" dtr="false" t="normal">ROUND(BM28*BK28, 2)</f>
        <v>0.4</v>
      </c>
      <c r="BO28" s="175" t="n">
        <v>0.2</v>
      </c>
      <c r="BP28" s="175" t="n">
        <f aca="false" ca="false" dt2D="false" dtr="false" t="normal">ROUND(BO28*100%/90%, 5)</f>
        <v>0.22222</v>
      </c>
      <c r="BQ28" s="176" t="n"/>
      <c r="BR28" s="176" t="n">
        <f aca="false" ca="false" dt2D="false" dtr="false" t="normal">SUM(BR29:BR30)</f>
        <v>0</v>
      </c>
      <c r="BS28" s="177" t="n">
        <f aca="false" ca="false" dt2D="false" dtr="false" t="normal">ROUND(BR28*BP28, 2)</f>
        <v>0</v>
      </c>
      <c r="BT28" s="175" t="n">
        <v>0.2</v>
      </c>
      <c r="BU28" s="175" t="n">
        <f aca="false" ca="false" dt2D="false" dtr="false" t="normal">BT28</f>
        <v>0.2</v>
      </c>
      <c r="BV28" s="176" t="n"/>
      <c r="BW28" s="176" t="n">
        <f aca="false" ca="false" dt2D="false" dtr="false" t="normal">SUM(BW29:BW30)</f>
        <v>5</v>
      </c>
      <c r="BX28" s="177" t="n">
        <f aca="false" ca="false" dt2D="false" dtr="false" t="normal">ROUND(BW28*BU28, 2)</f>
        <v>1</v>
      </c>
      <c r="BY28" s="175" t="n">
        <v>0.2</v>
      </c>
      <c r="BZ28" s="175" t="n"/>
      <c r="CA28" s="176" t="n"/>
      <c r="CB28" s="176" t="n">
        <f aca="false" ca="false" dt2D="false" dtr="false" t="normal">SUM(CB29:CB30)</f>
        <v>0</v>
      </c>
      <c r="CC28" s="177" t="n">
        <f aca="false" ca="false" dt2D="false" dtr="false" t="normal">ROUND(CB28*BZ28, 2)</f>
        <v>0</v>
      </c>
    </row>
    <row customFormat="true" ht="45" outlineLevel="0" r="29" s="189">
      <c r="A29" s="179" t="s">
        <v>127</v>
      </c>
      <c r="B29" s="180" t="n">
        <v>0.6</v>
      </c>
      <c r="C29" s="180" t="n"/>
      <c r="D29" s="181" t="n"/>
      <c r="E29" s="181" t="n">
        <f aca="false" ca="false" dt2D="false" dtr="false" t="normal">ROUND(D29*C29, 2)</f>
        <v>0</v>
      </c>
      <c r="F29" s="182" t="n"/>
      <c r="G29" s="180" t="n">
        <v>0.6</v>
      </c>
      <c r="H29" s="180" t="n">
        <v>0.6</v>
      </c>
      <c r="I29" s="181" t="n">
        <f aca="false" ca="false" dt2D="false" dtr="false" t="normal">VLOOKUP($G$2, '4.1 наруш бюдж зак'!A5:F18, 6, 0)</f>
        <v>5</v>
      </c>
      <c r="J29" s="181" t="n">
        <f aca="false" ca="false" dt2D="false" dtr="false" t="normal">ROUND(I29*H29, 2)</f>
        <v>3</v>
      </c>
      <c r="K29" s="182" t="n"/>
      <c r="L29" s="180" t="n">
        <v>0.6</v>
      </c>
      <c r="M29" s="180" t="n"/>
      <c r="N29" s="181" t="n">
        <f aca="false" ca="false" dt2D="false" dtr="false" t="normal">VLOOKUP($L2, '4.1 наруш бюдж зак'!$A$5:$F$18, 6, 0)</f>
        <v>0</v>
      </c>
      <c r="O29" s="181" t="n">
        <f aca="false" ca="false" dt2D="false" dtr="false" t="normal">ROUND(N29*M29, 2)</f>
        <v>0</v>
      </c>
      <c r="P29" s="182" t="n"/>
      <c r="Q29" s="180" t="n">
        <v>0.6</v>
      </c>
      <c r="R29" s="180" t="n"/>
      <c r="S29" s="181" t="n">
        <f aca="false" ca="false" dt2D="false" dtr="false" t="normal">VLOOKUP($Q2, '4.1 наруш бюдж зак'!$A$5:$F$18, 6, 0)</f>
        <v>0</v>
      </c>
      <c r="T29" s="181" t="n">
        <f aca="false" ca="false" dt2D="false" dtr="false" t="normal">ROUND(S29*R29, 2)</f>
        <v>0</v>
      </c>
      <c r="U29" s="182" t="n"/>
      <c r="V29" s="180" t="n">
        <v>0.6</v>
      </c>
      <c r="W29" s="180" t="n"/>
      <c r="X29" s="181" t="n">
        <f aca="false" ca="false" dt2D="false" dtr="false" t="normal">VLOOKUP($V2, '4.1 наруш бюдж зак'!$A$5:$F$18, 6, 0)</f>
        <v>0</v>
      </c>
      <c r="Y29" s="181" t="n">
        <f aca="false" ca="false" dt2D="false" dtr="false" t="normal">ROUND(X29*W29, 2)</f>
        <v>0</v>
      </c>
      <c r="Z29" s="182" t="n"/>
      <c r="AA29" s="180" t="n">
        <v>0.6</v>
      </c>
      <c r="AB29" s="180" t="n"/>
      <c r="AC29" s="181" t="n">
        <f aca="false" ca="false" dt2D="false" dtr="false" t="normal">VLOOKUP($AA2, '4.1 наруш бюдж зак'!$A$5:$F$18, 6, 0)</f>
        <v>0</v>
      </c>
      <c r="AD29" s="181" t="n">
        <f aca="false" ca="false" dt2D="false" dtr="false" t="normal">ROUND(AC29*AB29, 2)</f>
        <v>0</v>
      </c>
      <c r="AE29" s="182" t="n"/>
      <c r="AF29" s="180" t="n">
        <v>0.6</v>
      </c>
      <c r="AG29" s="180" t="n"/>
      <c r="AH29" s="181" t="n">
        <f aca="false" ca="false" dt2D="false" dtr="false" t="normal">VLOOKUP($AF2, '4.1 наруш бюдж зак'!$A$5:$F$18, 6, 0)</f>
        <v>0</v>
      </c>
      <c r="AI29" s="181" t="n">
        <f aca="false" ca="false" dt2D="false" dtr="false" t="normal">ROUND(AH29*AG29, 2)</f>
        <v>0</v>
      </c>
      <c r="AJ29" s="182" t="n"/>
      <c r="AK29" s="180" t="n">
        <v>0.6</v>
      </c>
      <c r="AL29" s="180" t="n">
        <v>0.6</v>
      </c>
      <c r="AM29" s="181" t="n">
        <f aca="false" ca="false" dt2D="false" dtr="false" t="normal">VLOOKUP($AK2, '4.1 наруш бюдж зак'!$A$5:$F$18, 6, 0)</f>
        <v>5</v>
      </c>
      <c r="AN29" s="181" t="n">
        <f aca="false" ca="false" dt2D="false" dtr="false" t="normal">ROUND(AM29*AL29, 2)</f>
        <v>3</v>
      </c>
      <c r="AO29" s="182" t="n"/>
      <c r="AP29" s="180" t="n">
        <v>0.6</v>
      </c>
      <c r="AQ29" s="180" t="n"/>
      <c r="AR29" s="181" t="n">
        <f aca="false" ca="false" dt2D="false" dtr="false" t="normal">VLOOKUP($AP2, '4.1 наруш бюдж зак'!$A$5:$F$18, 6, 0)</f>
        <v>0</v>
      </c>
      <c r="AS29" s="181" t="n">
        <f aca="false" ca="false" dt2D="false" dtr="false" t="normal">ROUND(AR29*AQ29, 2)</f>
        <v>0</v>
      </c>
      <c r="AT29" s="182" t="n"/>
      <c r="AU29" s="180" t="n">
        <v>0.6</v>
      </c>
      <c r="AV29" s="180" t="n"/>
      <c r="AW29" s="181" t="n">
        <f aca="false" ca="false" dt2D="false" dtr="false" t="normal">VLOOKUP($AU2, '4.1 наруш бюдж зак'!$A$5:$F$18, 6, 0)</f>
        <v>0</v>
      </c>
      <c r="AX29" s="181" t="n">
        <f aca="false" ca="false" dt2D="false" dtr="false" t="normal">ROUND(AW29*AV29, 2)</f>
        <v>0</v>
      </c>
      <c r="AY29" s="182" t="n"/>
      <c r="AZ29" s="180" t="n">
        <v>0.6</v>
      </c>
      <c r="BA29" s="180" t="n"/>
      <c r="BB29" s="181" t="n">
        <f aca="false" ca="false" dt2D="false" dtr="false" t="normal">VLOOKUP($AZ2, '4.1 наруш бюдж зак'!$A$5:$F$18, 6, 0)</f>
        <v>0</v>
      </c>
      <c r="BC29" s="181" t="n">
        <f aca="false" ca="false" dt2D="false" dtr="false" t="normal">ROUND(BB29*BA29, 2)</f>
        <v>0</v>
      </c>
      <c r="BD29" s="182" t="n"/>
      <c r="BE29" s="180" t="n">
        <v>0.6</v>
      </c>
      <c r="BF29" s="180" t="n"/>
      <c r="BG29" s="181" t="n">
        <f aca="false" ca="false" dt2D="false" dtr="false" t="normal">VLOOKUP($BE2, '4.1 наруш бюдж зак'!$A$5:$F$18, 6, 0)</f>
        <v>0</v>
      </c>
      <c r="BH29" s="181" t="n">
        <f aca="false" ca="false" dt2D="false" dtr="false" t="normal">ROUND(BG29*BF29, 2)</f>
        <v>0</v>
      </c>
      <c r="BI29" s="182" t="n"/>
      <c r="BJ29" s="180" t="n">
        <v>0.6</v>
      </c>
      <c r="BK29" s="180" t="n">
        <v>0.6</v>
      </c>
      <c r="BL29" s="181" t="n">
        <f aca="false" ca="false" dt2D="false" dtr="false" t="normal">VLOOKUP($BJ2, '4.1 наруш бюдж зак'!$A$5:$F$20, 6, 0)</f>
        <v>0</v>
      </c>
      <c r="BM29" s="181" t="n">
        <f aca="false" ca="false" dt2D="false" dtr="false" t="normal">ROUND(BL29*BK29, 2)</f>
        <v>0</v>
      </c>
      <c r="BN29" s="182" t="n"/>
      <c r="BO29" s="180" t="n">
        <v>0.6</v>
      </c>
      <c r="BP29" s="180" t="n">
        <v>0.6</v>
      </c>
      <c r="BQ29" s="181" t="n">
        <f aca="false" ca="false" dt2D="false" dtr="false" t="normal">VLOOKUP($BO2, '4.1 наруш бюдж зак'!$A$5:$F$21, 6, 0)</f>
        <v>0</v>
      </c>
      <c r="BR29" s="181" t="n">
        <f aca="false" ca="false" dt2D="false" dtr="false" t="normal">ROUND(BQ29*BP29, 2)</f>
        <v>0</v>
      </c>
      <c r="BS29" s="182" t="n"/>
      <c r="BT29" s="180" t="n">
        <v>0.6</v>
      </c>
      <c r="BU29" s="180" t="n">
        <f aca="false" ca="false" dt2D="false" dtr="false" t="normal">ROUND(BT29*100%/60%, 5)</f>
        <v>1</v>
      </c>
      <c r="BV29" s="181" t="n">
        <f aca="false" ca="false" dt2D="false" dtr="false" t="normal">VLOOKUP($BT2, '4.1 наруш бюдж зак'!$A$6:$F$21, 6, 0)</f>
        <v>5</v>
      </c>
      <c r="BW29" s="181" t="n">
        <f aca="false" ca="false" dt2D="false" dtr="false" t="normal">ROUND(BV29*BU29, 2)</f>
        <v>5</v>
      </c>
      <c r="BX29" s="182" t="n"/>
      <c r="BY29" s="180" t="n">
        <v>0.6</v>
      </c>
      <c r="BZ29" s="180" t="n"/>
      <c r="CA29" s="181" t="n">
        <v>0</v>
      </c>
      <c r="CB29" s="181" t="n">
        <f aca="false" ca="false" dt2D="false" dtr="false" t="normal">ROUND(CA29*BZ29, 2)</f>
        <v>0</v>
      </c>
      <c r="CC29" s="182" t="n"/>
    </row>
    <row customFormat="true" ht="45" outlineLevel="0" r="30" s="189">
      <c r="A30" s="179" t="s">
        <v>128</v>
      </c>
      <c r="B30" s="180" t="n">
        <v>0.4</v>
      </c>
      <c r="C30" s="180" t="n"/>
      <c r="D30" s="181" t="n"/>
      <c r="E30" s="181" t="n">
        <f aca="false" ca="false" dt2D="false" dtr="false" t="normal">ROUND(D30*C30, 2)</f>
        <v>0</v>
      </c>
      <c r="F30" s="182" t="n"/>
      <c r="G30" s="180" t="n">
        <v>0.4</v>
      </c>
      <c r="H30" s="180" t="n">
        <v>0.4</v>
      </c>
      <c r="I30" s="181" t="n">
        <f aca="false" ca="false" dt2D="false" dtr="false" t="normal">VLOOKUP($G$2, '4.2 Исп пред-й'!A6:G19, 7, 0)</f>
        <v>0</v>
      </c>
      <c r="J30" s="181" t="n">
        <f aca="false" ca="false" dt2D="false" dtr="false" t="normal">ROUND(I30*H30, 2)</f>
        <v>0</v>
      </c>
      <c r="K30" s="182" t="n"/>
      <c r="L30" s="180" t="n">
        <v>0.4</v>
      </c>
      <c r="M30" s="180" t="n"/>
      <c r="N30" s="181" t="n">
        <f aca="false" ca="false" dt2D="false" dtr="false" t="normal">VLOOKUP($L2, '4.2 Исп пред-й'!$A$6:$G$19, 7, 0)</f>
        <v>0</v>
      </c>
      <c r="O30" s="181" t="n">
        <f aca="false" ca="false" dt2D="false" dtr="false" t="normal">ROUND(N30*M30, 2)</f>
        <v>0</v>
      </c>
      <c r="P30" s="182" t="n"/>
      <c r="Q30" s="180" t="n">
        <v>0.4</v>
      </c>
      <c r="R30" s="180" t="n"/>
      <c r="S30" s="181" t="n">
        <f aca="false" ca="false" dt2D="false" dtr="false" t="normal">VLOOKUP($Q2, '4.2 Исп пред-й'!$A$6:$G$19, 7, 0)</f>
        <v>0</v>
      </c>
      <c r="T30" s="181" t="n">
        <f aca="false" ca="false" dt2D="false" dtr="false" t="normal">ROUND(S30*R30, 2)</f>
        <v>0</v>
      </c>
      <c r="U30" s="182" t="n"/>
      <c r="V30" s="180" t="n">
        <v>0.4</v>
      </c>
      <c r="W30" s="180" t="n"/>
      <c r="X30" s="181" t="n">
        <f aca="false" ca="false" dt2D="false" dtr="false" t="normal">VLOOKUP($V2, '4.2 Исп пред-й'!$A$6:$G$19, 7, 0)</f>
        <v>0</v>
      </c>
      <c r="Y30" s="181" t="n">
        <f aca="false" ca="false" dt2D="false" dtr="false" t="normal">ROUND(X30*W30, 2)</f>
        <v>0</v>
      </c>
      <c r="Z30" s="182" t="n"/>
      <c r="AA30" s="180" t="n">
        <v>0.4</v>
      </c>
      <c r="AB30" s="180" t="n"/>
      <c r="AC30" s="181" t="n">
        <f aca="false" ca="false" dt2D="false" dtr="false" t="normal">VLOOKUP($AA2, '4.2 Исп пред-й'!$A$6:$G$19, 7, 0)</f>
        <v>5</v>
      </c>
      <c r="AD30" s="181" t="n">
        <f aca="false" ca="false" dt2D="false" dtr="false" t="normal">ROUND(AC30*AB30, 2)</f>
        <v>0</v>
      </c>
      <c r="AE30" s="182" t="n"/>
      <c r="AF30" s="180" t="n">
        <v>0.4</v>
      </c>
      <c r="AG30" s="180" t="n"/>
      <c r="AH30" s="181" t="n">
        <f aca="false" ca="false" dt2D="false" dtr="false" t="normal">VLOOKUP($AF2, '4.2 Исп пред-й'!$A$6:$G$19, 7, 0)</f>
        <v>0</v>
      </c>
      <c r="AI30" s="181" t="n">
        <f aca="false" ca="false" dt2D="false" dtr="false" t="normal">ROUND(AH30*AG30, 2)</f>
        <v>0</v>
      </c>
      <c r="AJ30" s="182" t="n"/>
      <c r="AK30" s="180" t="n">
        <v>0.4</v>
      </c>
      <c r="AL30" s="180" t="n">
        <v>0.4</v>
      </c>
      <c r="AM30" s="181" t="n">
        <f aca="false" ca="false" dt2D="false" dtr="false" t="normal">VLOOKUP($AK2, '4.2 Исп пред-й'!$A$6:$G$19, 7, 0)</f>
        <v>5</v>
      </c>
      <c r="AN30" s="181" t="n">
        <f aca="false" ca="false" dt2D="false" dtr="false" t="normal">ROUND(AM30*AL30, 2)</f>
        <v>2</v>
      </c>
      <c r="AO30" s="182" t="n"/>
      <c r="AP30" s="180" t="n">
        <v>0.4</v>
      </c>
      <c r="AQ30" s="180" t="n"/>
      <c r="AR30" s="181" t="n">
        <f aca="false" ca="false" dt2D="false" dtr="false" t="normal">VLOOKUP($AP2, '4.2 Исп пред-й'!$A$6:$G$19, 7, 0)</f>
        <v>0</v>
      </c>
      <c r="AS30" s="181" t="n">
        <f aca="false" ca="false" dt2D="false" dtr="false" t="normal">ROUND(AR30*AQ30, 2)</f>
        <v>0</v>
      </c>
      <c r="AT30" s="182" t="n"/>
      <c r="AU30" s="180" t="n">
        <v>0.4</v>
      </c>
      <c r="AV30" s="180" t="n"/>
      <c r="AW30" s="181" t="n">
        <f aca="false" ca="false" dt2D="false" dtr="false" t="normal">VLOOKUP($AU2, '4.2 Исп пред-й'!$A$6:$G$19, 7, 0)</f>
        <v>0</v>
      </c>
      <c r="AX30" s="181" t="n">
        <f aca="false" ca="false" dt2D="false" dtr="false" t="normal">ROUND(AW30*AV30, 2)</f>
        <v>0</v>
      </c>
      <c r="AY30" s="182" t="n"/>
      <c r="AZ30" s="180" t="n">
        <v>0.4</v>
      </c>
      <c r="BA30" s="180" t="n"/>
      <c r="BB30" s="181" t="n">
        <f aca="false" ca="false" dt2D="false" dtr="false" t="normal">VLOOKUP($AZ2, '4.2 Исп пред-й'!$A$6:$G$19, 7, 0)</f>
        <v>0</v>
      </c>
      <c r="BC30" s="181" t="n">
        <f aca="false" ca="false" dt2D="false" dtr="false" t="normal">ROUND(BB30*BA30, 2)</f>
        <v>0</v>
      </c>
      <c r="BD30" s="182" t="n"/>
      <c r="BE30" s="180" t="n">
        <v>0.4</v>
      </c>
      <c r="BF30" s="180" t="n"/>
      <c r="BG30" s="181" t="n">
        <f aca="false" ca="false" dt2D="false" dtr="false" t="normal">VLOOKUP($BE2, '4.2 Исп пред-й'!$A$6:$G$19, 7, 0)</f>
        <v>0</v>
      </c>
      <c r="BH30" s="181" t="n">
        <f aca="false" ca="false" dt2D="false" dtr="false" t="normal">ROUND(BG30*BF30, 2)</f>
        <v>0</v>
      </c>
      <c r="BI30" s="182" t="n"/>
      <c r="BJ30" s="180" t="n">
        <v>0.4</v>
      </c>
      <c r="BK30" s="180" t="n">
        <v>0.4</v>
      </c>
      <c r="BL30" s="181" t="n">
        <f aca="false" ca="false" dt2D="false" dtr="false" t="normal">VLOOKUP($BJ2, '4.2 Исп пред-й'!$A$6:$G$19, 7, 0)</f>
        <v>5</v>
      </c>
      <c r="BM30" s="181" t="n">
        <f aca="false" ca="false" dt2D="false" dtr="false" t="normal">ROUND(BL30*BK30, 2)</f>
        <v>2</v>
      </c>
      <c r="BN30" s="182" t="n"/>
      <c r="BO30" s="180" t="n">
        <v>0.4</v>
      </c>
      <c r="BP30" s="180" t="n">
        <v>0.4</v>
      </c>
      <c r="BQ30" s="181" t="n">
        <f aca="false" ca="false" dt2D="false" dtr="false" t="normal">VLOOKUP($BO2, '4.2 Исп пред-й'!$A$6:$G$19, 7, 0)</f>
        <v>0</v>
      </c>
      <c r="BR30" s="181" t="n">
        <f aca="false" ca="false" dt2D="false" dtr="false" t="normal">ROUND(BQ30*BP30, 2)</f>
        <v>0</v>
      </c>
      <c r="BS30" s="182" t="n"/>
      <c r="BT30" s="180" t="n">
        <v>0.4</v>
      </c>
      <c r="BU30" s="180" t="n"/>
      <c r="BV30" s="181" t="n">
        <f aca="false" ca="false" dt2D="false" dtr="false" t="normal">VLOOKUP($BT2, '4.2 Исп пред-й'!$A$6:$G$21, 7, 0)</f>
        <v>5</v>
      </c>
      <c r="BW30" s="181" t="n">
        <f aca="false" ca="false" dt2D="false" dtr="false" t="normal">ROUND(BV30*BU30, 2)</f>
        <v>0</v>
      </c>
      <c r="BX30" s="182" t="n"/>
      <c r="BY30" s="180" t="n">
        <v>0.4</v>
      </c>
      <c r="BZ30" s="180" t="n"/>
      <c r="CA30" s="181" t="n">
        <v>0</v>
      </c>
      <c r="CB30" s="181" t="n">
        <f aca="false" ca="false" dt2D="false" dtr="false" t="normal">ROUND(CA30*BZ30, 2)</f>
        <v>0</v>
      </c>
      <c r="CC30" s="182" t="n"/>
    </row>
    <row customFormat="true" ht="42.75" outlineLevel="0" r="31" s="192">
      <c r="A31" s="174" t="s">
        <v>129</v>
      </c>
      <c r="B31" s="175" t="n">
        <v>0.1</v>
      </c>
      <c r="C31" s="175" t="n"/>
      <c r="D31" s="176" t="n"/>
      <c r="E31" s="176" t="n">
        <f aca="false" ca="false" dt2D="false" dtr="false" t="normal">SUM(E32:E34)</f>
        <v>0</v>
      </c>
      <c r="F31" s="177" t="n">
        <f aca="false" ca="false" dt2D="false" dtr="false" t="normal">ROUND(E31*C31, 2)</f>
        <v>0</v>
      </c>
      <c r="G31" s="175" t="n">
        <v>0.1</v>
      </c>
      <c r="H31" s="175" t="n">
        <f aca="false" ca="false" dt2D="false" dtr="false" t="normal">G31</f>
        <v>0.1</v>
      </c>
      <c r="I31" s="176" t="n"/>
      <c r="J31" s="176" t="n">
        <f aca="false" ca="false" dt2D="false" dtr="false" t="normal">SUM(J32:J34)</f>
        <v>5</v>
      </c>
      <c r="K31" s="177" t="n">
        <f aca="false" ca="false" dt2D="false" dtr="false" t="normal">ROUND(J31*H31, 2)</f>
        <v>0.5</v>
      </c>
      <c r="L31" s="175" t="n">
        <v>0.1</v>
      </c>
      <c r="M31" s="175" t="n"/>
      <c r="N31" s="176" t="n"/>
      <c r="O31" s="176" t="n">
        <f aca="false" ca="false" dt2D="false" dtr="false" t="normal">SUM(O32:O34)</f>
        <v>0</v>
      </c>
      <c r="P31" s="177" t="n">
        <f aca="false" ca="false" dt2D="false" dtr="false" t="normal">ROUND(O31*M31, 2)</f>
        <v>0</v>
      </c>
      <c r="Q31" s="175" t="n">
        <v>0.1</v>
      </c>
      <c r="R31" s="175" t="n"/>
      <c r="S31" s="176" t="n"/>
      <c r="T31" s="176" t="n">
        <f aca="false" ca="false" dt2D="false" dtr="false" t="normal">SUM(T32:T34)</f>
        <v>0</v>
      </c>
      <c r="U31" s="177" t="n">
        <f aca="false" ca="false" dt2D="false" dtr="false" t="normal">ROUND(T31*R31, 2)</f>
        <v>0</v>
      </c>
      <c r="V31" s="175" t="n">
        <v>0.1</v>
      </c>
      <c r="W31" s="175" t="n"/>
      <c r="X31" s="176" t="n"/>
      <c r="Y31" s="176" t="n">
        <f aca="false" ca="false" dt2D="false" dtr="false" t="normal">SUM(Y32:Y34)</f>
        <v>0</v>
      </c>
      <c r="Z31" s="177" t="n">
        <f aca="false" ca="false" dt2D="false" dtr="false" t="normal">ROUND(Y31*W31, 2)</f>
        <v>0</v>
      </c>
      <c r="AA31" s="175" t="n">
        <v>0.1</v>
      </c>
      <c r="AB31" s="175" t="n">
        <f aca="false" ca="false" dt2D="false" dtr="false" t="normal">ROUND(AA31*100%/80%, 5)</f>
        <v>0.125</v>
      </c>
      <c r="AC31" s="176" t="n"/>
      <c r="AD31" s="176" t="n">
        <f aca="false" ca="false" dt2D="false" dtr="false" t="normal">SUM(AD32:AD34)</f>
        <v>5</v>
      </c>
      <c r="AE31" s="177" t="n">
        <f aca="false" ca="false" dt2D="false" dtr="false" t="normal">ROUND(AD31*AB31, 2)</f>
        <v>0.63</v>
      </c>
      <c r="AF31" s="175" t="n">
        <v>0.1</v>
      </c>
      <c r="AG31" s="175" t="n">
        <f aca="false" ca="false" dt2D="false" dtr="false" t="normal">ROUND(AF31*100%/80%, 5)</f>
        <v>0.125</v>
      </c>
      <c r="AH31" s="176" t="n"/>
      <c r="AI31" s="176" t="n">
        <f aca="false" ca="false" dt2D="false" dtr="false" t="normal">SUM(AI32:AI34)</f>
        <v>5</v>
      </c>
      <c r="AJ31" s="177" t="n">
        <f aca="false" ca="false" dt2D="false" dtr="false" t="normal">ROUND(AI31*AG31, 2)</f>
        <v>0.63</v>
      </c>
      <c r="AK31" s="175" t="n">
        <v>0.1</v>
      </c>
      <c r="AL31" s="175" t="n"/>
      <c r="AM31" s="176" t="n"/>
      <c r="AN31" s="176" t="n">
        <f aca="false" ca="false" dt2D="false" dtr="false" t="normal">SUM(AN32:AN34)</f>
        <v>0</v>
      </c>
      <c r="AO31" s="177" t="n">
        <f aca="false" ca="false" dt2D="false" dtr="false" t="normal">ROUND(AN31*AL31, 2)</f>
        <v>0</v>
      </c>
      <c r="AP31" s="175" t="n">
        <v>0.1</v>
      </c>
      <c r="AQ31" s="175" t="n">
        <f aca="false" ca="false" dt2D="false" dtr="false" t="normal">ROUND(AP31*100%/80%, 5)</f>
        <v>0.125</v>
      </c>
      <c r="AR31" s="176" t="n"/>
      <c r="AS31" s="176" t="n">
        <f aca="false" ca="false" dt2D="false" dtr="false" t="normal">SUM(AS32:AS34)</f>
        <v>5</v>
      </c>
      <c r="AT31" s="177" t="n">
        <f aca="false" ca="false" dt2D="false" dtr="false" t="normal">ROUND(AS31*AQ31, 2)</f>
        <v>0.63</v>
      </c>
      <c r="AU31" s="175" t="n">
        <v>0.1</v>
      </c>
      <c r="AV31" s="175" t="n"/>
      <c r="AW31" s="176" t="n"/>
      <c r="AX31" s="176" t="n">
        <f aca="false" ca="false" dt2D="false" dtr="false" t="normal">SUM(AX32:AX34)</f>
        <v>0</v>
      </c>
      <c r="AY31" s="177" t="n">
        <f aca="false" ca="false" dt2D="false" dtr="false" t="normal">ROUND(AX31*AV31, 2)</f>
        <v>0</v>
      </c>
      <c r="AZ31" s="175" t="n">
        <v>0.1</v>
      </c>
      <c r="BA31" s="175" t="n"/>
      <c r="BB31" s="176" t="n"/>
      <c r="BC31" s="176" t="n">
        <f aca="false" ca="false" dt2D="false" dtr="false" t="normal">SUM(BC32:BC34)</f>
        <v>0</v>
      </c>
      <c r="BD31" s="177" t="n">
        <f aca="false" ca="false" dt2D="false" dtr="false" t="normal">ROUND(BC31*BA31, 2)</f>
        <v>0</v>
      </c>
      <c r="BE31" s="175" t="n">
        <v>0.1</v>
      </c>
      <c r="BF31" s="175" t="n"/>
      <c r="BG31" s="176" t="n"/>
      <c r="BH31" s="176" t="n">
        <f aca="false" ca="false" dt2D="false" dtr="false" t="normal">SUM(BH32:BH34)</f>
        <v>0</v>
      </c>
      <c r="BI31" s="177" t="n">
        <f aca="false" ca="false" dt2D="false" dtr="false" t="normal">ROUND(BH31*BF31, 2)</f>
        <v>0</v>
      </c>
      <c r="BJ31" s="175" t="n">
        <v>0.1</v>
      </c>
      <c r="BK31" s="175" t="n">
        <v>0.1</v>
      </c>
      <c r="BL31" s="176" t="n"/>
      <c r="BM31" s="176" t="n">
        <f aca="false" ca="false" dt2D="false" dtr="false" t="normal">SUM(BM32:BM34)</f>
        <v>5</v>
      </c>
      <c r="BN31" s="177" t="n">
        <f aca="false" ca="false" dt2D="false" dtr="false" t="normal">ROUND(BM31*BK31, 2)</f>
        <v>0.5</v>
      </c>
      <c r="BO31" s="175" t="n">
        <v>0.1</v>
      </c>
      <c r="BP31" s="175" t="n"/>
      <c r="BQ31" s="176" t="n"/>
      <c r="BR31" s="176" t="n">
        <f aca="false" ca="false" dt2D="false" dtr="false" t="normal">SUM(BR32:BR34)</f>
        <v>0</v>
      </c>
      <c r="BS31" s="177" t="n">
        <f aca="false" ca="false" dt2D="false" dtr="false" t="normal">ROUND(BR31*BP31, 2)</f>
        <v>0</v>
      </c>
      <c r="BT31" s="175" t="n">
        <v>0.1</v>
      </c>
      <c r="BU31" s="175" t="n">
        <f aca="false" ca="false" dt2D="false" dtr="false" t="normal">BT31</f>
        <v>0.1</v>
      </c>
      <c r="BV31" s="176" t="n"/>
      <c r="BW31" s="176" t="n">
        <f aca="false" ca="false" dt2D="false" dtr="false" t="normal">SUM(BW32:BW34)</f>
        <v>5</v>
      </c>
      <c r="BX31" s="177" t="n">
        <f aca="false" ca="false" dt2D="false" dtr="false" t="normal">ROUND(BW31*BU31, 2)</f>
        <v>0.5</v>
      </c>
      <c r="BY31" s="175" t="n">
        <v>0.1</v>
      </c>
      <c r="BZ31" s="175" t="n"/>
      <c r="CA31" s="176" t="n"/>
      <c r="CB31" s="176" t="n">
        <f aca="false" ca="false" dt2D="false" dtr="false" t="normal">SUM(CB32:CB34)</f>
        <v>0</v>
      </c>
      <c r="CC31" s="177" t="n">
        <f aca="false" ca="false" dt2D="false" dtr="false" t="normal">ROUND(CB31*BZ31, 2)</f>
        <v>0</v>
      </c>
    </row>
    <row customFormat="true" ht="75" outlineLevel="0" r="32" s="189">
      <c r="A32" s="179" t="s">
        <v>130</v>
      </c>
      <c r="B32" s="180" t="n">
        <v>0.3</v>
      </c>
      <c r="C32" s="180" t="n"/>
      <c r="D32" s="181" t="n"/>
      <c r="E32" s="181" t="n"/>
      <c r="F32" s="182" t="n"/>
      <c r="G32" s="180" t="n">
        <v>0.3</v>
      </c>
      <c r="H32" s="180" t="n"/>
      <c r="I32" s="181" t="n"/>
      <c r="J32" s="181" t="n">
        <f aca="false" ca="false" dt2D="false" dtr="false" t="normal">ROUND(I32*H32, 2)</f>
        <v>0</v>
      </c>
      <c r="K32" s="182" t="n"/>
      <c r="L32" s="180" t="n">
        <v>0.3</v>
      </c>
      <c r="M32" s="180" t="n"/>
      <c r="N32" s="181" t="n"/>
      <c r="O32" s="181" t="n">
        <f aca="false" ca="false" dt2D="false" dtr="false" t="normal">ROUND(N32*M32, 2)</f>
        <v>0</v>
      </c>
      <c r="P32" s="182" t="n"/>
      <c r="Q32" s="180" t="n">
        <v>0.3</v>
      </c>
      <c r="R32" s="180" t="n"/>
      <c r="S32" s="181" t="n">
        <v>0</v>
      </c>
      <c r="T32" s="181" t="n">
        <f aca="false" ca="false" dt2D="false" dtr="false" t="normal">ROUND(S32*R32, 2)</f>
        <v>0</v>
      </c>
      <c r="U32" s="182" t="n"/>
      <c r="V32" s="180" t="n">
        <v>0.3</v>
      </c>
      <c r="W32" s="180" t="n"/>
      <c r="X32" s="181" t="n">
        <v>0</v>
      </c>
      <c r="Y32" s="181" t="n">
        <f aca="false" ca="false" dt2D="false" dtr="false" t="normal">ROUND(X32*W32, 2)</f>
        <v>0</v>
      </c>
      <c r="Z32" s="182" t="n"/>
      <c r="AA32" s="180" t="n">
        <v>0.3</v>
      </c>
      <c r="AB32" s="180" t="n">
        <v>0.3</v>
      </c>
      <c r="AC32" s="181" t="n">
        <f aca="false" ca="false" dt2D="false" dtr="false" t="normal">VLOOKUP($AA2, '5.1 Утв норм затрат'!$A$6:$F$19, 6, 0)</f>
        <v>5</v>
      </c>
      <c r="AD32" s="181" t="n">
        <f aca="false" ca="false" dt2D="false" dtr="false" t="normal">ROUND(AC32*AB32, 2)</f>
        <v>1.5</v>
      </c>
      <c r="AE32" s="182" t="n"/>
      <c r="AF32" s="180" t="n">
        <v>0.3</v>
      </c>
      <c r="AG32" s="180" t="n">
        <v>0.3</v>
      </c>
      <c r="AH32" s="181" t="n">
        <f aca="false" ca="false" dt2D="false" dtr="false" t="normal">VLOOKUP($AF2, '5.1 Утв норм затрат'!$A$6:$F$19, 6, 0)</f>
        <v>5</v>
      </c>
      <c r="AI32" s="181" t="n">
        <f aca="false" ca="false" dt2D="false" dtr="false" t="normal">ROUND(AH32*AG32, 2)</f>
        <v>1.5</v>
      </c>
      <c r="AJ32" s="182" t="n"/>
      <c r="AK32" s="180" t="n">
        <v>0.3</v>
      </c>
      <c r="AL32" s="180" t="n"/>
      <c r="AM32" s="181" t="n">
        <f aca="false" ca="false" dt2D="false" dtr="false" t="normal">VLOOKUP($AK2, '5.1 Утв норм затрат'!$A$6:$F$19, 5, 0)</f>
        <v>0</v>
      </c>
      <c r="AN32" s="181" t="n">
        <f aca="false" ca="false" dt2D="false" dtr="false" t="normal">ROUND(AM32*AL32, 2)</f>
        <v>0</v>
      </c>
      <c r="AO32" s="182" t="n"/>
      <c r="AP32" s="180" t="n">
        <v>0.3</v>
      </c>
      <c r="AQ32" s="180" t="n">
        <v>0.3</v>
      </c>
      <c r="AR32" s="181" t="n">
        <f aca="false" ca="false" dt2D="false" dtr="false" t="normal">VLOOKUP($AP2, '5.1 Утв норм затрат'!$A$6:$F$19, 6, 0)</f>
        <v>5</v>
      </c>
      <c r="AS32" s="181" t="n">
        <f aca="false" ca="false" dt2D="false" dtr="false" t="normal">ROUND(AR32*AQ32, 2)</f>
        <v>1.5</v>
      </c>
      <c r="AT32" s="182" t="n"/>
      <c r="AU32" s="180" t="n">
        <v>0.3</v>
      </c>
      <c r="AV32" s="180" t="n"/>
      <c r="AW32" s="181" t="n">
        <f aca="false" ca="false" dt2D="false" dtr="false" t="normal">VLOOKUP($AU2, '5.1 Утв норм затрат'!$A$6:$F$19, 5, 0)</f>
        <v>0</v>
      </c>
      <c r="AX32" s="181" t="n">
        <f aca="false" ca="false" dt2D="false" dtr="false" t="normal">ROUND(AW32*AV32, 2)</f>
        <v>0</v>
      </c>
      <c r="AY32" s="182" t="n"/>
      <c r="AZ32" s="180" t="n">
        <v>0.3</v>
      </c>
      <c r="BA32" s="180" t="n"/>
      <c r="BB32" s="181" t="n">
        <f aca="false" ca="false" dt2D="false" dtr="false" t="normal">VLOOKUP($AZ2, '5.1 Утв норм затрат'!$A$6:$F$19, 5, 0)</f>
        <v>0</v>
      </c>
      <c r="BC32" s="181" t="n">
        <f aca="false" ca="false" dt2D="false" dtr="false" t="normal">ROUND(BB32*BA32, 2)</f>
        <v>0</v>
      </c>
      <c r="BD32" s="182" t="n"/>
      <c r="BE32" s="180" t="n">
        <v>0.3</v>
      </c>
      <c r="BF32" s="180" t="n"/>
      <c r="BG32" s="181" t="n">
        <f aca="false" ca="false" dt2D="false" dtr="false" t="normal">VLOOKUP($BE2, '5.1 Утв норм затрат'!$A$6:$F$19, 5, 0)</f>
        <v>0</v>
      </c>
      <c r="BH32" s="181" t="n">
        <f aca="false" ca="false" dt2D="false" dtr="false" t="normal">ROUND(BG32*BF32, 2)</f>
        <v>0</v>
      </c>
      <c r="BI32" s="182" t="n"/>
      <c r="BJ32" s="180" t="n">
        <v>0.3</v>
      </c>
      <c r="BK32" s="180" t="n">
        <v>0.3</v>
      </c>
      <c r="BL32" s="181" t="n">
        <f aca="false" ca="false" dt2D="false" dtr="false" t="normal">VLOOKUP($BJ2, '5.1 Утв норм затрат'!$A$6:$F$19, 6, 0)</f>
        <v>5</v>
      </c>
      <c r="BM32" s="181" t="n">
        <f aca="false" ca="false" dt2D="false" dtr="false" t="normal">ROUND(BL32*BK32, 2)</f>
        <v>1.5</v>
      </c>
      <c r="BN32" s="182" t="n"/>
      <c r="BO32" s="180" t="n">
        <v>0.3</v>
      </c>
      <c r="BP32" s="180" t="n"/>
      <c r="BQ32" s="181" t="n">
        <f aca="false" ca="false" dt2D="false" dtr="false" t="normal">VLOOKUP($BO2, '5.1 Утв норм затрат'!$A$6:$F$19, 5, 0)</f>
        <v>0</v>
      </c>
      <c r="BR32" s="181" t="n">
        <f aca="false" ca="false" dt2D="false" dtr="false" t="normal">ROUND(BQ32*BP32, 2)</f>
        <v>0</v>
      </c>
      <c r="BS32" s="182" t="n"/>
      <c r="BT32" s="180" t="n">
        <v>0.3</v>
      </c>
      <c r="BU32" s="180" t="n"/>
      <c r="BV32" s="181" t="n">
        <f aca="false" ca="false" dt2D="false" dtr="false" t="normal">VLOOKUP($BT2, '5.1 Утв норм затрат'!$A$6:$F$21, 5, 0)</f>
        <v>0</v>
      </c>
      <c r="BW32" s="181" t="n">
        <f aca="false" ca="false" dt2D="false" dtr="false" t="normal">ROUND(BV32*BU32, 2)</f>
        <v>0</v>
      </c>
      <c r="BX32" s="182" t="n"/>
      <c r="BY32" s="180" t="n">
        <v>0.3</v>
      </c>
      <c r="BZ32" s="180" t="n"/>
      <c r="CA32" s="181" t="n"/>
      <c r="CB32" s="181" t="n">
        <f aca="false" ca="false" dt2D="false" dtr="false" t="normal">ROUND(CA32*BZ32, 2)</f>
        <v>0</v>
      </c>
      <c r="CC32" s="182" t="n"/>
    </row>
    <row customFormat="true" ht="120" outlineLevel="0" r="33" s="189">
      <c r="A33" s="179" t="s">
        <v>131</v>
      </c>
      <c r="B33" s="180" t="n">
        <v>0.35</v>
      </c>
      <c r="C33" s="180" t="n"/>
      <c r="D33" s="181" t="n"/>
      <c r="E33" s="181" t="n"/>
      <c r="F33" s="182" t="n"/>
      <c r="G33" s="180" t="n">
        <v>0.35</v>
      </c>
      <c r="H33" s="180" t="n">
        <f aca="false" ca="false" dt2D="false" dtr="false" t="normal">ROUND(G33*100%/35%, 5)</f>
        <v>1</v>
      </c>
      <c r="I33" s="181" t="n">
        <f aca="false" ca="false" dt2D="false" dtr="false" t="normal">VLOOKUP($G2, '5.2 разм инф'!$A$6:$E$19, 5, 0)</f>
        <v>5</v>
      </c>
      <c r="J33" s="181" t="n">
        <f aca="false" ca="false" dt2D="false" dtr="false" t="normal">ROUND(I33*H33, 2)</f>
        <v>5</v>
      </c>
      <c r="K33" s="182" t="n"/>
      <c r="L33" s="180" t="n">
        <v>0.35</v>
      </c>
      <c r="M33" s="180" t="n"/>
      <c r="N33" s="181" t="n"/>
      <c r="O33" s="181" t="n">
        <f aca="false" ca="false" dt2D="false" dtr="false" t="normal">ROUND(N33*M33, 2)</f>
        <v>0</v>
      </c>
      <c r="P33" s="182" t="n"/>
      <c r="Q33" s="180" t="n">
        <v>0.35</v>
      </c>
      <c r="R33" s="180" t="n"/>
      <c r="S33" s="181" t="n">
        <v>0</v>
      </c>
      <c r="T33" s="181" t="n">
        <f aca="false" ca="false" dt2D="false" dtr="false" t="normal">ROUND(S33*R33, 2)</f>
        <v>0</v>
      </c>
      <c r="U33" s="182" t="n"/>
      <c r="V33" s="180" t="n">
        <v>0.35</v>
      </c>
      <c r="W33" s="180" t="n"/>
      <c r="X33" s="181" t="n">
        <v>0</v>
      </c>
      <c r="Y33" s="181" t="n">
        <f aca="false" ca="false" dt2D="false" dtr="false" t="normal">ROUND(X33*W33, 2)</f>
        <v>0</v>
      </c>
      <c r="Z33" s="182" t="n"/>
      <c r="AA33" s="180" t="n">
        <v>0.35</v>
      </c>
      <c r="AB33" s="180" t="n">
        <v>0.35</v>
      </c>
      <c r="AC33" s="181" t="n">
        <f aca="false" ca="false" dt2D="false" dtr="false" t="normal">VLOOKUP($AA2, '5.2 разм инф'!$A$6:$E$19, 5, 0)</f>
        <v>5</v>
      </c>
      <c r="AD33" s="181" t="n">
        <f aca="false" ca="false" dt2D="false" dtr="false" t="normal">ROUND(AC33*AB33, 2)</f>
        <v>1.75</v>
      </c>
      <c r="AE33" s="182" t="n"/>
      <c r="AF33" s="180" t="n">
        <v>0.35</v>
      </c>
      <c r="AG33" s="180" t="n">
        <v>0.35</v>
      </c>
      <c r="AH33" s="181" t="n">
        <f aca="false" ca="false" dt2D="false" dtr="false" t="normal">VLOOKUP($AF2, '5.2 разм инф'!$A$6:$E$19, 5, 0)</f>
        <v>5</v>
      </c>
      <c r="AI33" s="181" t="n">
        <f aca="false" ca="false" dt2D="false" dtr="false" t="normal">ROUND(AH33*AG33, 2)</f>
        <v>1.75</v>
      </c>
      <c r="AJ33" s="182" t="n"/>
      <c r="AK33" s="180" t="n">
        <v>0.35</v>
      </c>
      <c r="AL33" s="180" t="n"/>
      <c r="AM33" s="181" t="n">
        <f aca="false" ca="false" dt2D="false" dtr="false" t="normal">VLOOKUP($AK2, '5.2 разм инф'!$A$6:$E$19, 5, 0)</f>
        <v>0</v>
      </c>
      <c r="AN33" s="181" t="n">
        <f aca="false" ca="false" dt2D="false" dtr="false" t="normal">ROUND(AM33*AL33, 2)</f>
        <v>0</v>
      </c>
      <c r="AO33" s="182" t="n"/>
      <c r="AP33" s="180" t="n">
        <v>0.35</v>
      </c>
      <c r="AQ33" s="180" t="n">
        <v>0.35</v>
      </c>
      <c r="AR33" s="181" t="n">
        <f aca="false" ca="false" dt2D="false" dtr="false" t="normal">VLOOKUP($AP2, '5.2 разм инф'!$A$6:$E$19, 5, 0)</f>
        <v>5</v>
      </c>
      <c r="AS33" s="181" t="n">
        <f aca="false" ca="false" dt2D="false" dtr="false" t="normal">ROUND(AR33*AQ33, 2)</f>
        <v>1.75</v>
      </c>
      <c r="AT33" s="182" t="n"/>
      <c r="AU33" s="180" t="n">
        <v>0.35</v>
      </c>
      <c r="AV33" s="180" t="n"/>
      <c r="AW33" s="181" t="n">
        <f aca="false" ca="false" dt2D="false" dtr="false" t="normal">VLOOKUP($AU2, '5.2 разм инф'!$A$6:$E$19, 5, 0)</f>
        <v>0</v>
      </c>
      <c r="AX33" s="181" t="n">
        <f aca="false" ca="false" dt2D="false" dtr="false" t="normal">ROUND(AW33*AV33, 2)</f>
        <v>0</v>
      </c>
      <c r="AY33" s="182" t="n"/>
      <c r="AZ33" s="180" t="n">
        <v>0.35</v>
      </c>
      <c r="BA33" s="180" t="n"/>
      <c r="BB33" s="181" t="n">
        <f aca="false" ca="false" dt2D="false" dtr="false" t="normal">VLOOKUP($AZ2, '5.2 разм инф'!$A$6:$E$19, 5, 0)</f>
        <v>0</v>
      </c>
      <c r="BC33" s="181" t="n">
        <f aca="false" ca="false" dt2D="false" dtr="false" t="normal">ROUND(BB33*BA33, 2)</f>
        <v>0</v>
      </c>
      <c r="BD33" s="182" t="n"/>
      <c r="BE33" s="180" t="n">
        <v>0.35</v>
      </c>
      <c r="BF33" s="180" t="n"/>
      <c r="BG33" s="181" t="n">
        <f aca="false" ca="false" dt2D="false" dtr="false" t="normal">VLOOKUP($BE2, '5.2 разм инф'!$A$6:$E$19, 5, 0)</f>
        <v>0</v>
      </c>
      <c r="BH33" s="181" t="n">
        <f aca="false" ca="false" dt2D="false" dtr="false" t="normal">ROUND(BG33*BF33, 2)</f>
        <v>0</v>
      </c>
      <c r="BI33" s="182" t="n"/>
      <c r="BJ33" s="180" t="n">
        <v>0.35</v>
      </c>
      <c r="BK33" s="180" t="n">
        <v>0.35</v>
      </c>
      <c r="BL33" s="181" t="n">
        <f aca="false" ca="false" dt2D="false" dtr="false" t="normal">VLOOKUP($BJ2, '5.2 разм инф'!$A$6:$E$19, 5, 0)</f>
        <v>5</v>
      </c>
      <c r="BM33" s="181" t="n">
        <f aca="false" ca="false" dt2D="false" dtr="false" t="normal">ROUND(BL33*BK33, 2)</f>
        <v>1.75</v>
      </c>
      <c r="BN33" s="182" t="n"/>
      <c r="BO33" s="180" t="n">
        <v>0.35</v>
      </c>
      <c r="BP33" s="180" t="n"/>
      <c r="BQ33" s="181" t="n">
        <f aca="false" ca="false" dt2D="false" dtr="false" t="normal">VLOOKUP($BO2, '5.2 разм инф'!$A$6:$E$19, 5, 0)</f>
        <v>0</v>
      </c>
      <c r="BR33" s="181" t="n">
        <f aca="false" ca="false" dt2D="false" dtr="false" t="normal">ROUND(BQ33*BP33, 2)</f>
        <v>0</v>
      </c>
      <c r="BS33" s="182" t="n"/>
      <c r="BT33" s="180" t="n">
        <v>0.35</v>
      </c>
      <c r="BU33" s="180" t="n">
        <f aca="false" ca="false" dt2D="false" dtr="false" t="normal">ROUND(BT33*100%/35%, 5)</f>
        <v>1</v>
      </c>
      <c r="BV33" s="181" t="n">
        <f aca="false" ca="false" dt2D="false" dtr="false" t="normal">VLOOKUP($BT2, '5.2 разм инф'!$A$6:$E$19, 5, 0)</f>
        <v>5</v>
      </c>
      <c r="BW33" s="181" t="n">
        <f aca="false" ca="false" dt2D="false" dtr="false" t="normal">ROUND(BV33*BU33, 2)</f>
        <v>5</v>
      </c>
      <c r="BX33" s="182" t="n"/>
      <c r="BY33" s="180" t="n">
        <v>0.35</v>
      </c>
      <c r="BZ33" s="180" t="n"/>
      <c r="CA33" s="181" t="n"/>
      <c r="CB33" s="181" t="n">
        <f aca="false" ca="false" dt2D="false" dtr="false" t="normal">ROUND(CA33*BZ33, 2)</f>
        <v>0</v>
      </c>
      <c r="CC33" s="182" t="n"/>
    </row>
    <row customFormat="true" ht="60" outlineLevel="0" r="34" s="189">
      <c r="A34" s="179" t="s">
        <v>132</v>
      </c>
      <c r="B34" s="180" t="n">
        <v>0.35</v>
      </c>
      <c r="C34" s="180" t="n"/>
      <c r="D34" s="181" t="n"/>
      <c r="E34" s="181" t="n"/>
      <c r="F34" s="182" t="n"/>
      <c r="G34" s="180" t="n">
        <v>0.35</v>
      </c>
      <c r="H34" s="180" t="n"/>
      <c r="I34" s="181" t="n">
        <f aca="false" ca="false" dt2D="false" dtr="false" t="normal">VLOOKUP($G2, '5.3 Доля ост-в'!A6:F19, 5, 6)</f>
        <v>0</v>
      </c>
      <c r="J34" s="181" t="n">
        <f aca="false" ca="false" dt2D="false" dtr="false" t="normal">ROUND(I34*H34, 2)</f>
        <v>0</v>
      </c>
      <c r="K34" s="182" t="n"/>
      <c r="L34" s="180" t="n">
        <v>0.35</v>
      </c>
      <c r="M34" s="180" t="n"/>
      <c r="N34" s="181" t="n"/>
      <c r="O34" s="181" t="n">
        <f aca="false" ca="false" dt2D="false" dtr="false" t="normal">ROUND(N34*M34, 2)</f>
        <v>0</v>
      </c>
      <c r="P34" s="182" t="n"/>
      <c r="Q34" s="180" t="n">
        <v>0.35</v>
      </c>
      <c r="R34" s="180" t="n"/>
      <c r="S34" s="181" t="n">
        <v>0</v>
      </c>
      <c r="T34" s="181" t="n">
        <f aca="false" ca="false" dt2D="false" dtr="false" t="normal">ROUND(S34*R34, 2)</f>
        <v>0</v>
      </c>
      <c r="U34" s="182" t="n"/>
      <c r="V34" s="180" t="n">
        <v>0.35</v>
      </c>
      <c r="W34" s="180" t="n"/>
      <c r="X34" s="181" t="n">
        <v>0</v>
      </c>
      <c r="Y34" s="181" t="n">
        <f aca="false" ca="false" dt2D="false" dtr="false" t="normal">ROUND(X34*W34, 2)</f>
        <v>0</v>
      </c>
      <c r="Z34" s="182" t="n"/>
      <c r="AA34" s="180" t="n">
        <v>0.35</v>
      </c>
      <c r="AB34" s="180" t="n">
        <v>0.35</v>
      </c>
      <c r="AC34" s="181" t="n">
        <f aca="false" ca="false" dt2D="false" dtr="false" t="normal">VLOOKUP($AA2, '5.3 Доля ост-в'!$A$6:$F$19, 6, 0)</f>
        <v>5</v>
      </c>
      <c r="AD34" s="181" t="n">
        <f aca="false" ca="false" dt2D="false" dtr="false" t="normal">ROUND(AC34*AB34, 2)</f>
        <v>1.75</v>
      </c>
      <c r="AE34" s="182" t="n"/>
      <c r="AF34" s="180" t="n">
        <v>0.35</v>
      </c>
      <c r="AG34" s="180" t="n">
        <v>0.35</v>
      </c>
      <c r="AH34" s="181" t="n">
        <f aca="false" ca="false" dt2D="false" dtr="false" t="normal">VLOOKUP($AF2, '5.3 Доля ост-в'!$A$6:$F$19, 6, 0)</f>
        <v>5</v>
      </c>
      <c r="AI34" s="181" t="n">
        <f aca="false" ca="false" dt2D="false" dtr="false" t="normal">ROUND(AH34*AG34, 2)</f>
        <v>1.75</v>
      </c>
      <c r="AJ34" s="182" t="n"/>
      <c r="AK34" s="180" t="n">
        <v>0.35</v>
      </c>
      <c r="AL34" s="180" t="n"/>
      <c r="AM34" s="181" t="n">
        <f aca="false" ca="false" dt2D="false" dtr="false" t="normal">VLOOKUP($AK2, '5.3 Доля ост-в'!$A$6:$F$19, 6, 0)</f>
        <v>0</v>
      </c>
      <c r="AN34" s="181" t="n">
        <f aca="false" ca="false" dt2D="false" dtr="false" t="normal">ROUND(AM34*AL34, 2)</f>
        <v>0</v>
      </c>
      <c r="AO34" s="182" t="n"/>
      <c r="AP34" s="180" t="n">
        <v>0.35</v>
      </c>
      <c r="AQ34" s="180" t="n">
        <v>0.35</v>
      </c>
      <c r="AR34" s="181" t="n">
        <f aca="false" ca="false" dt2D="false" dtr="false" t="normal">VLOOKUP($AP2, '5.3 Доля ост-в'!$A$6:$F$19, 6, 0)</f>
        <v>5</v>
      </c>
      <c r="AS34" s="181" t="n">
        <f aca="false" ca="false" dt2D="false" dtr="false" t="normal">ROUND(AR34*AQ34, 2)</f>
        <v>1.75</v>
      </c>
      <c r="AT34" s="182" t="n"/>
      <c r="AU34" s="180" t="n">
        <v>0.35</v>
      </c>
      <c r="AV34" s="180" t="n"/>
      <c r="AW34" s="181" t="n">
        <f aca="false" ca="false" dt2D="false" dtr="false" t="normal">VLOOKUP($AU2, '5.3 Доля ост-в'!$A$6:$F$19, 6, 0)</f>
        <v>0</v>
      </c>
      <c r="AX34" s="181" t="n">
        <f aca="false" ca="false" dt2D="false" dtr="false" t="normal">ROUND(AW34*AV34, 2)</f>
        <v>0</v>
      </c>
      <c r="AY34" s="182" t="n"/>
      <c r="AZ34" s="180" t="n">
        <v>0.35</v>
      </c>
      <c r="BA34" s="180" t="n"/>
      <c r="BB34" s="181" t="n">
        <f aca="false" ca="false" dt2D="false" dtr="false" t="normal">VLOOKUP($AZ2, '5.3 Доля ост-в'!$A$6:$F$19, 6, 0)</f>
        <v>0</v>
      </c>
      <c r="BC34" s="181" t="n">
        <f aca="false" ca="false" dt2D="false" dtr="false" t="normal">ROUND(BB34*BA34, 2)</f>
        <v>0</v>
      </c>
      <c r="BD34" s="182" t="n"/>
      <c r="BE34" s="180" t="n">
        <v>0.35</v>
      </c>
      <c r="BF34" s="180" t="n"/>
      <c r="BG34" s="181" t="n">
        <f aca="false" ca="false" dt2D="false" dtr="false" t="normal">VLOOKUP($BE2, '5.3 Доля ост-в'!$A$6:$F$19, 6, 0)</f>
        <v>0</v>
      </c>
      <c r="BH34" s="181" t="n">
        <f aca="false" ca="false" dt2D="false" dtr="false" t="normal">ROUND(BG34*BF34, 2)</f>
        <v>0</v>
      </c>
      <c r="BI34" s="182" t="n"/>
      <c r="BJ34" s="180" t="n">
        <v>0.35</v>
      </c>
      <c r="BK34" s="180" t="n">
        <v>0.35</v>
      </c>
      <c r="BL34" s="181" t="n">
        <f aca="false" ca="false" dt2D="false" dtr="false" t="normal">VLOOKUP($BJ2, '5.3 Доля ост-в'!$A$6:$F$19, 6, 0)</f>
        <v>5</v>
      </c>
      <c r="BM34" s="181" t="n">
        <f aca="false" ca="false" dt2D="false" dtr="false" t="normal">ROUND(BL34*BK34, 2)</f>
        <v>1.75</v>
      </c>
      <c r="BN34" s="182" t="n"/>
      <c r="BO34" s="180" t="n">
        <v>0.35</v>
      </c>
      <c r="BP34" s="180" t="n"/>
      <c r="BQ34" s="181" t="n">
        <f aca="false" ca="false" dt2D="false" dtr="false" t="normal">VLOOKUP($BO2, '5.3 Доля ост-в'!$A$6:$F$19, 6, 0)</f>
        <v>0</v>
      </c>
      <c r="BR34" s="181" t="n">
        <f aca="false" ca="false" dt2D="false" dtr="false" t="normal">ROUND(BQ34*BP34, 2)</f>
        <v>0</v>
      </c>
      <c r="BS34" s="182" t="n"/>
      <c r="BT34" s="180" t="n">
        <v>0.35</v>
      </c>
      <c r="BU34" s="180" t="n"/>
      <c r="BV34" s="181" t="n">
        <f aca="false" ca="false" dt2D="false" dtr="false" t="normal">VLOOKUP($BT2, '5.3 Доля ост-в'!$A$6:$F$21, 6, 0)</f>
        <v>0</v>
      </c>
      <c r="BW34" s="181" t="n">
        <f aca="false" ca="false" dt2D="false" dtr="false" t="normal">ROUND(BV34*BU34, 2)</f>
        <v>0</v>
      </c>
      <c r="BX34" s="182" t="n"/>
      <c r="BY34" s="180" t="n">
        <v>0.35</v>
      </c>
      <c r="BZ34" s="180" t="n"/>
      <c r="CA34" s="181" t="n"/>
      <c r="CB34" s="181" t="n">
        <f aca="false" ca="false" dt2D="false" dtr="false" t="normal">ROUND(CA34*BZ34, 2)</f>
        <v>0</v>
      </c>
      <c r="CC34" s="182" t="n"/>
    </row>
    <row customFormat="true" ht="14.25" outlineLevel="0" r="35" s="191">
      <c r="A35" s="193" t="s">
        <v>133</v>
      </c>
      <c r="B35" s="194" t="n">
        <f aca="false" ca="false" dt2D="false" dtr="false" t="normal">B4+B10+B22+B28+B31</f>
        <v>1.0000000000000002</v>
      </c>
      <c r="C35" s="195" t="n">
        <f aca="false" ca="false" dt2D="false" dtr="false" t="normal">C4+C10+C22+C28+C31</f>
        <v>1</v>
      </c>
      <c r="D35" s="195" t="n"/>
      <c r="E35" s="195" t="n"/>
      <c r="F35" s="196" t="n">
        <f aca="false" ca="false" dt2D="false" dtr="false" t="normal">F4+F10+F22+F28+F31</f>
        <v>3.32</v>
      </c>
      <c r="G35" s="194" t="n">
        <f aca="false" ca="false" dt2D="false" dtr="false" t="normal">G4+G10+G22+G28+G31</f>
        <v>1.0000000000000002</v>
      </c>
      <c r="H35" s="195" t="n">
        <f aca="false" ca="false" dt2D="false" dtr="false" t="normal">H4+H10+H22+H28+H31</f>
        <v>1.0000000000000002</v>
      </c>
      <c r="I35" s="195" t="n"/>
      <c r="J35" s="195" t="n"/>
      <c r="K35" s="196" t="n">
        <f aca="false" ca="false" dt2D="false" dtr="false" t="normal">K4+K10+K22+K28+K31</f>
        <v>3.7600000000000002</v>
      </c>
      <c r="L35" s="194" t="n">
        <f aca="false" ca="false" dt2D="false" dtr="false" t="normal">L4+L10+L22+L28+L31</f>
        <v>1.0000000000000002</v>
      </c>
      <c r="M35" s="195" t="n">
        <f aca="false" ca="false" dt2D="false" dtr="false" t="normal">M4+M10+M22+M28+M31</f>
        <v>1</v>
      </c>
      <c r="N35" s="195" t="n"/>
      <c r="O35" s="195" t="n"/>
      <c r="P35" s="196" t="n">
        <f aca="false" ca="false" dt2D="false" dtr="false" t="normal">P4+P10+P22+P28+P31</f>
        <v>3.0500000000000003</v>
      </c>
      <c r="Q35" s="194" t="n">
        <f aca="false" ca="false" dt2D="false" dtr="false" t="normal">Q4+Q10+Q22+Q28+Q31</f>
        <v>1.0000000000000002</v>
      </c>
      <c r="R35" s="195" t="n">
        <f aca="false" ca="false" dt2D="false" dtr="false" t="normal">R4+R10+R22+R28+R31</f>
        <v>1</v>
      </c>
      <c r="S35" s="195" t="n"/>
      <c r="T35" s="195" t="n"/>
      <c r="U35" s="196" t="n">
        <f aca="false" ca="false" dt2D="false" dtr="false" t="normal">U4+U10+U22+U28+U31</f>
        <v>3.55</v>
      </c>
      <c r="V35" s="194" t="n">
        <f aca="false" ca="false" dt2D="false" dtr="false" t="normal">V4+V10+V22+V28+V31</f>
        <v>1.0000000000000002</v>
      </c>
      <c r="W35" s="195" t="n">
        <f aca="false" ca="false" dt2D="false" dtr="false" t="normal">W4+W10+W22+W28+W31</f>
        <v>1</v>
      </c>
      <c r="X35" s="195" t="n"/>
      <c r="Y35" s="195" t="n"/>
      <c r="Z35" s="196" t="n">
        <f aca="false" ca="false" dt2D="false" dtr="false" t="normal">Z4+Z10+Z22+Z28+Z31</f>
        <v>3.6799999999999997</v>
      </c>
      <c r="AA35" s="194" t="n">
        <f aca="false" ca="false" dt2D="false" dtr="false" t="normal">AA4+AA10+AA22+AA28+AA31</f>
        <v>1.0000000000000002</v>
      </c>
      <c r="AB35" s="195" t="n">
        <f aca="false" ca="false" dt2D="false" dtr="false" t="normal">AB4+AB10+AB22+AB28+AB31</f>
        <v>1</v>
      </c>
      <c r="AC35" s="195" t="n"/>
      <c r="AD35" s="195" t="n"/>
      <c r="AE35" s="196" t="n">
        <f aca="false" ca="false" dt2D="false" dtr="false" t="normal">AE4+AE10+AE22+AE28+AE31</f>
        <v>3.6399999999999997</v>
      </c>
      <c r="AF35" s="194" t="n">
        <f aca="false" ca="false" dt2D="false" dtr="false" t="normal">AF4+AF10+AF22+AF28+AF31</f>
        <v>1.0000000000000002</v>
      </c>
      <c r="AG35" s="195" t="n">
        <f aca="false" ca="false" dt2D="false" dtr="false" t="normal">AG4+AG10+AG22+AG28+AG31</f>
        <v>1</v>
      </c>
      <c r="AH35" s="195" t="n"/>
      <c r="AI35" s="195" t="n"/>
      <c r="AJ35" s="196" t="n">
        <f aca="false" ca="false" dt2D="false" dtr="false" t="normal">AJ4+AJ10+AJ22+AJ28+AJ31</f>
        <v>3.51</v>
      </c>
      <c r="AK35" s="194" t="n">
        <f aca="false" ca="false" dt2D="false" dtr="false" t="normal">AK4+AK10+AK22+AK28+AK31</f>
        <v>1.0000000000000002</v>
      </c>
      <c r="AL35" s="195" t="n">
        <f aca="false" ca="false" dt2D="false" dtr="false" t="normal">AL4+AL10+AL22+AL28+AL31</f>
        <v>0.99999</v>
      </c>
      <c r="AM35" s="195" t="n"/>
      <c r="AN35" s="195" t="n"/>
      <c r="AO35" s="196" t="n">
        <f aca="false" ca="false" dt2D="false" dtr="false" t="normal">AO4+AO10+AO22+AO28+AO31</f>
        <v>4.42</v>
      </c>
      <c r="AP35" s="194" t="n">
        <f aca="false" ca="false" dt2D="false" dtr="false" t="normal">AP4+AP10+AP22+AP28+AP31</f>
        <v>1.0000000000000002</v>
      </c>
      <c r="AQ35" s="195" t="n">
        <f aca="false" ca="false" dt2D="false" dtr="false" t="normal">AQ4+AQ10+AQ22+AQ28+AQ31</f>
        <v>1</v>
      </c>
      <c r="AR35" s="195" t="n"/>
      <c r="AS35" s="195" t="n"/>
      <c r="AT35" s="196" t="n">
        <f aca="false" ca="false" dt2D="false" dtr="false" t="normal">AT4+AT10+AT22+AT28+AT31</f>
        <v>3.59</v>
      </c>
      <c r="AU35" s="194" t="n">
        <f aca="false" ca="false" dt2D="false" dtr="false" t="normal">AU4+AU10+AU22+AU28+AU31</f>
        <v>1.0000000000000002</v>
      </c>
      <c r="AV35" s="195" t="n">
        <f aca="false" ca="false" dt2D="false" dtr="false" t="normal">AV4+AV10+AV22+AV28+AV31</f>
        <v>1</v>
      </c>
      <c r="AW35" s="195" t="n"/>
      <c r="AX35" s="195" t="n"/>
      <c r="AY35" s="196" t="n">
        <f aca="false" ca="false" dt2D="false" dtr="false" t="normal">AY4+AY10+AY22+AY28+AY31</f>
        <v>3.7600000000000002</v>
      </c>
      <c r="AZ35" s="194" t="n">
        <f aca="false" ca="false" dt2D="false" dtr="false" t="normal">AZ4+AZ10+AZ22+AZ28+AZ31</f>
        <v>1.0000000000000002</v>
      </c>
      <c r="BA35" s="195" t="n">
        <f aca="false" ca="false" dt2D="false" dtr="false" t="normal">BA4+BA10+BA22+BA28+BA31</f>
        <v>1</v>
      </c>
      <c r="BB35" s="195" t="n"/>
      <c r="BC35" s="195" t="n"/>
      <c r="BD35" s="196" t="n">
        <f aca="false" ca="false" dt2D="false" dtr="false" t="normal">BD4+BD10+BD22+BD28+BD31</f>
        <v>4.08</v>
      </c>
      <c r="BE35" s="194" t="n">
        <f aca="false" ca="false" dt2D="false" dtr="false" t="normal">BE4+BE10+BE22+BE28+BE31</f>
        <v>1.0000000000000002</v>
      </c>
      <c r="BF35" s="195" t="n">
        <f aca="false" ca="false" dt2D="false" dtr="false" t="normal">BF4+BF10+BF22+BF28+BF31</f>
        <v>1</v>
      </c>
      <c r="BG35" s="195" t="n"/>
      <c r="BH35" s="195" t="n"/>
      <c r="BI35" s="196" t="n">
        <f aca="false" ca="false" dt2D="false" dtr="false" t="normal">BI4+BI10+BI22+BI28+BI31</f>
        <v>3.7199999999999998</v>
      </c>
      <c r="BJ35" s="194" t="n">
        <f aca="false" ca="false" dt2D="false" dtr="false" t="normal">BJ4+BJ10+BJ22+BJ28+BJ31</f>
        <v>1.0000000000000002</v>
      </c>
      <c r="BK35" s="195" t="n">
        <f aca="false" ca="false" dt2D="false" dtr="false" t="normal">BK4+BK10+BK22+BK28+BK31</f>
        <v>1.0000000000000002</v>
      </c>
      <c r="BL35" s="195" t="n"/>
      <c r="BM35" s="195" t="n"/>
      <c r="BN35" s="196" t="n">
        <f aca="false" ca="false" dt2D="false" dtr="false" t="normal">BN4+BN10+BN22+BN28+BN31</f>
        <v>3.5799999999999996</v>
      </c>
      <c r="BO35" s="194" t="n">
        <f aca="false" ca="false" dt2D="false" dtr="false" t="normal">BO4+BO10+BO22+BO28+BO31</f>
        <v>1.0000000000000002</v>
      </c>
      <c r="BP35" s="195" t="n">
        <f aca="false" ca="false" dt2D="false" dtr="false" t="normal">BP4+BP10+BP22+BP28+BP31</f>
        <v>0.99999</v>
      </c>
      <c r="BQ35" s="195" t="n"/>
      <c r="BR35" s="195" t="n"/>
      <c r="BS35" s="196" t="n">
        <f aca="false" ca="false" dt2D="false" dtr="false" t="normal">BS4+BS10+BS22+BS28+BS31</f>
        <v>2.17</v>
      </c>
      <c r="BT35" s="194" t="n">
        <f aca="false" ca="false" dt2D="false" dtr="false" t="normal">BT4+BT10+BT22+BT28+BT31</f>
        <v>1.0000000000000002</v>
      </c>
      <c r="BU35" s="195" t="n">
        <f aca="false" ca="false" dt2D="false" dtr="false" t="normal">BU4+BU10+BU22+BU28+BU31</f>
        <v>1.0000000000000002</v>
      </c>
      <c r="BV35" s="195" t="n"/>
      <c r="BW35" s="195" t="n"/>
      <c r="BX35" s="196" t="n">
        <f aca="false" ca="false" dt2D="false" dtr="false" t="normal">BX4+BX10+BX22+BX28+BX31</f>
        <v>3.79</v>
      </c>
      <c r="BY35" s="194" t="n">
        <f aca="false" ca="false" dt2D="false" dtr="false" t="normal">BY4+BY10+BY22+BY28+BY31</f>
        <v>1.0000000000000002</v>
      </c>
      <c r="BZ35" s="195" t="n">
        <f aca="false" ca="false" dt2D="false" dtr="false" t="normal">BZ4+BZ10+BZ22+BZ28+BZ31</f>
        <v>1</v>
      </c>
      <c r="CA35" s="195" t="n"/>
      <c r="CB35" s="195" t="n"/>
      <c r="CC35" s="196" t="n">
        <f aca="false" ca="false" dt2D="false" dtr="false" t="normal">CC4+CC10+CC22+CC28+CC31</f>
        <v>3.22</v>
      </c>
    </row>
    <row outlineLevel="0" r="37">
      <c r="AK37" s="161" t="n">
        <f aca="false" ca="false" dt2D="false" dtr="false" t="normal">15+4</f>
        <v>19</v>
      </c>
    </row>
    <row outlineLevel="0" r="38">
      <c r="AK38" s="161" t="n">
        <f aca="false" ca="false" dt2D="false" dtr="false" t="normal">100-19</f>
        <v>81</v>
      </c>
    </row>
  </sheetData>
  <autoFilter ref="A1:A38"/>
  <mergeCells count="16"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Y2:CC2"/>
    <mergeCell ref="AZ2:BD2"/>
    <mergeCell ref="BE2:BI2"/>
    <mergeCell ref="BJ2:BN2"/>
    <mergeCell ref="BO2:BS2"/>
    <mergeCell ref="BT2:BX2"/>
  </mergeCells>
  <pageMargins bottom="0.196850389242172" footer="0.15748031437397" header="0.15748031437397" left="0.433070868253708" right="0.196850389242172" top="0.354330688714981"/>
  <pageSetup fitToHeight="1" fitToWidth="1" orientation="portrait" paperHeight="297mm" paperSize="9" paperWidth="210mm" scale="71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9"/>
  <sheetViews>
    <sheetView showZeros="true" topLeftCell="A3" workbookViewId="0">
      <pane activePane="bottomRight" state="frozen" topLeftCell="B6" xSplit="1" ySplit="3"/>
    </sheetView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39.8554684744442"/>
    <col customWidth="true" max="3" min="3" outlineLevel="0" style="3" width="50.9999984775044"/>
    <col customWidth="true" max="4" min="4" outlineLevel="0" style="3" width="21.9999996616676"/>
    <col customWidth="true" max="5" min="5" outlineLevel="0" style="3" width="21.285156158148"/>
    <col customWidth="true" max="6" min="6" outlineLevel="0" style="3" width="15.4257809599064"/>
    <col customWidth="true" max="7" min="7" outlineLevel="0" style="3" width="13.1406246325922"/>
    <col bestFit="true" customWidth="true" max="8" min="8" outlineLevel="0" style="3" width="9.14062530925693"/>
    <col customWidth="true" max="9" min="9" outlineLevel="0" style="3" width="31.5703124854623"/>
    <col bestFit="true" customWidth="true" max="16384" min="10" outlineLevel="0" style="3" width="9.14062530925693"/>
  </cols>
  <sheetData>
    <row customFormat="true" customHeight="true" ht="32.25" outlineLevel="0" r="1" s="197">
      <c r="A1" s="198" t="s">
        <v>102</v>
      </c>
      <c r="B1" s="198" t="s"/>
      <c r="C1" s="198" t="s"/>
      <c r="D1" s="198" t="s"/>
      <c r="E1" s="198" t="s"/>
      <c r="F1" s="198" t="s"/>
      <c r="G1" s="198" t="s"/>
    </row>
    <row ht="19.5" outlineLevel="0" r="2">
      <c r="A2" s="199" t="s">
        <v>134</v>
      </c>
      <c r="B2" s="199" t="s"/>
      <c r="C2" s="199" t="s"/>
      <c r="D2" s="199" t="s"/>
      <c r="E2" s="199" t="s"/>
      <c r="F2" s="199" t="s"/>
      <c r="G2" s="199" t="s"/>
    </row>
    <row outlineLevel="0" r="4">
      <c r="A4" s="159" t="n"/>
      <c r="G4" s="200" t="s">
        <v>135</v>
      </c>
      <c r="I4" s="3" t="n">
        <v>20</v>
      </c>
    </row>
    <row customHeight="true" ht="161.25" outlineLevel="0" r="5">
      <c r="A5" s="53" t="s">
        <v>35</v>
      </c>
      <c r="B5" s="53" t="s">
        <v>2</v>
      </c>
      <c r="C5" s="53" t="s">
        <v>136</v>
      </c>
      <c r="D5" s="53" t="s">
        <v>137</v>
      </c>
      <c r="E5" s="53" t="s">
        <v>138</v>
      </c>
      <c r="F5" s="53" t="s">
        <v>139</v>
      </c>
      <c r="G5" s="53" t="s">
        <v>140</v>
      </c>
      <c r="I5" s="52" t="s">
        <v>141</v>
      </c>
    </row>
    <row outlineLevel="0" r="6">
      <c r="A6" s="21" t="n">
        <v>600</v>
      </c>
      <c r="B6" s="21" t="s">
        <v>51</v>
      </c>
      <c r="C6" s="201" t="n">
        <v>24</v>
      </c>
      <c r="D6" s="202" t="n">
        <v>55976453.42</v>
      </c>
      <c r="E6" s="202" t="n">
        <v>18812786981.15</v>
      </c>
      <c r="F6" s="203" t="n">
        <f aca="false" ca="false" dt2D="false" dtr="false" t="normal">ROUND(C6*(1-D6/E6), 2)</f>
        <v>23.93</v>
      </c>
      <c r="G6" s="203" t="n">
        <v>3</v>
      </c>
      <c r="H6" s="186" t="str">
        <f aca="false" ca="false" dt2D="false" dtr="false" t="normal">LOOKUP(F6, {0, 3, 5, 7, 9.99, 10, 13, 19.99, 20, 25, 29.99, 30, 37, 39.99, 40, 45, 49.99, 50, 53, 57, 99.99}, {"5+", "5", "5-", "4+", "4", "4-", "3+", "3", "3-", "2+", "2", "2-", "1+", "1", "1-", "0"})</f>
        <v>3-</v>
      </c>
    </row>
    <row ht="45" outlineLevel="0" r="7">
      <c r="A7" s="21" t="n">
        <v>609</v>
      </c>
      <c r="B7" s="21" t="s">
        <v>37</v>
      </c>
      <c r="C7" s="201" t="n">
        <v>47</v>
      </c>
      <c r="D7" s="204" t="n">
        <v>338870705</v>
      </c>
      <c r="E7" s="202" t="n">
        <v>18812786981.15</v>
      </c>
      <c r="F7" s="203" t="n">
        <f aca="false" ca="false" dt2D="false" dtr="false" t="normal">ROUND(C7*(1-D7/E7), 2)</f>
        <v>46.15</v>
      </c>
      <c r="G7" s="203" t="n">
        <v>1</v>
      </c>
      <c r="H7" s="186" t="str">
        <f aca="false" ca="false" dt2D="false" dtr="false" t="normal">LOOKUP(F7, {0, 3, 5, 7, 9.99, 10, 13, 19.99, 20, 25, 29.99, 30, 37, 39.99, 40, 45, 49.99, 50, 53, 57, 99.99}, {"5+", "5", "5-", "4+", "4", "4-", "3+", "3", "3-", "2+", "2", "2-", "1+", "1", "1-", "0"})</f>
        <v>0</v>
      </c>
    </row>
    <row ht="30" outlineLevel="0" r="8">
      <c r="A8" s="21" t="n">
        <v>643</v>
      </c>
      <c r="B8" s="21" t="s">
        <v>52</v>
      </c>
      <c r="C8" s="201" t="n">
        <v>24</v>
      </c>
      <c r="D8" s="204" t="n">
        <v>237092765.39</v>
      </c>
      <c r="E8" s="202" t="n">
        <v>18812786981.15</v>
      </c>
      <c r="F8" s="203" t="n">
        <f aca="false" ca="false" dt2D="false" dtr="false" t="normal">ROUND(C8*(1-D8/E8), 2)</f>
        <v>23.7</v>
      </c>
      <c r="G8" s="203" t="n">
        <v>3</v>
      </c>
      <c r="H8" s="186" t="str">
        <f aca="false" ca="false" dt2D="false" dtr="false" t="normal">LOOKUP(F8, {0, 3, 5, 7, 9.99, 10, 13, 19.99, 20, 25, 29.99, 30, 37, 39.99, 40, 45, 49.99, 50, 70, 80, 100}, {"5+", "5", "5-", "4+", "4", "4-", "3+", "3", "3-", "2+", "2", "2-", "1+", "1", "1-", "0"})</f>
        <v>3-</v>
      </c>
    </row>
    <row ht="30" outlineLevel="0" r="9">
      <c r="A9" s="21" t="n">
        <v>604</v>
      </c>
      <c r="B9" s="21" t="s">
        <v>49</v>
      </c>
      <c r="C9" s="201" t="n">
        <v>16</v>
      </c>
      <c r="D9" s="204" t="n">
        <v>409265921.33</v>
      </c>
      <c r="E9" s="202" t="n">
        <v>18812786981.15</v>
      </c>
      <c r="F9" s="203" t="n">
        <f aca="false" ca="false" dt2D="false" dtr="false" t="normal">ROUND(C9*(1-D9/E9), 2)</f>
        <v>15.65</v>
      </c>
      <c r="G9" s="203" t="n">
        <v>4</v>
      </c>
      <c r="H9" s="186" t="str">
        <f aca="false" ca="false" dt2D="false" dtr="false" t="normal">LOOKUP(F9, {0, 3, 5, 7, 9.99, 10, 13, 19.99, 20, 25, 29.99, 30, 37, 39.99, 40, 45, 49.99, 50, 53, 57, 99.99}, {"5+", "5", "5-", "4+", "4", "4-", "3+", "3", "3-", "2+", "2", "2-", "1+", "1", "1-", "0"})</f>
        <v>3+</v>
      </c>
    </row>
    <row ht="30" outlineLevel="0" r="10">
      <c r="A10" s="21" t="n">
        <v>617</v>
      </c>
      <c r="B10" s="21" t="s">
        <v>42</v>
      </c>
      <c r="C10" s="201" t="n">
        <v>59</v>
      </c>
      <c r="D10" s="204" t="n">
        <v>200922573.6</v>
      </c>
      <c r="E10" s="202" t="n">
        <v>18812786981.15</v>
      </c>
      <c r="F10" s="203" t="n">
        <f aca="false" ca="false" dt2D="false" dtr="false" t="normal">ROUND(C10*(1-D10/E10), 2)</f>
        <v>58.37</v>
      </c>
      <c r="G10" s="203" t="n">
        <v>0</v>
      </c>
      <c r="H10" s="186" t="e">
        <f aca="false" ca="false" dt2D="false" dtr="false" t="normal">LOOKUP(F10, {0, 3, 5, 7, 9.99, 10, 13, 19.99, 20, 25, 29.99, 30, 37, 39.99, 40, 45, 49.99, 50, 53, 57, 99.99}, {"5+", "5", "5-", "4+", "4", "4-", "3+", "3", "3-", "2+", "2", "2-", "1+", "1", "1-", "0"})</f>
        <v>#N/A</v>
      </c>
    </row>
    <row ht="30" outlineLevel="0" r="11">
      <c r="A11" s="21" t="n">
        <v>602</v>
      </c>
      <c r="B11" s="21" t="s">
        <v>53</v>
      </c>
      <c r="C11" s="201" t="n">
        <v>56</v>
      </c>
      <c r="D11" s="204" t="n">
        <v>6262252639.46</v>
      </c>
      <c r="E11" s="202" t="n">
        <v>18812786981.15</v>
      </c>
      <c r="F11" s="203" t="n">
        <f aca="false" ca="false" dt2D="false" dtr="false" t="normal">ROUND(C11*(1-D11/E11), 2)</f>
        <v>37.36</v>
      </c>
      <c r="G11" s="203" t="n">
        <v>2</v>
      </c>
      <c r="H11" s="186" t="str">
        <f aca="false" ca="false" dt2D="false" dtr="false" t="normal">LOOKUP(F11, {0, 3, 5, 7, 9.99, 10, 13, 19.99, 20, 25, 29.99, 30, 37, 39.99, 40, 45, 49.99, 50, 53, 57, 99.99}, {"5+", "5", "5-", "4+", "4", "4-", "3+", "3", "3-", "2+", "2", "2-", "1+", "1", "1-", "0"})</f>
        <v>1+</v>
      </c>
    </row>
    <row ht="45" outlineLevel="0" r="12">
      <c r="A12" s="21" t="n">
        <v>607</v>
      </c>
      <c r="B12" s="21" t="s">
        <v>50</v>
      </c>
      <c r="C12" s="201" t="n">
        <v>41</v>
      </c>
      <c r="D12" s="204" t="n">
        <v>773248544.88</v>
      </c>
      <c r="E12" s="202" t="n">
        <v>18812786981.15</v>
      </c>
      <c r="F12" s="203" t="n">
        <f aca="false" ca="false" dt2D="false" dtr="false" t="normal">ROUND(C12*(1-D12/E12), 2)</f>
        <v>39.31</v>
      </c>
      <c r="G12" s="203" t="n">
        <v>2</v>
      </c>
      <c r="H12" s="186" t="str">
        <f aca="false" ca="false" dt2D="false" dtr="false" t="normal">LOOKUP(F12, {0, 3, 5, 7, 9.99, 10, 13, 19.99, 20, 25, 29.99, 30, 37, 39.99, 40, 45, 49.99, 50, 53, 57, 99.99}, {"5+", "5", "5-", "4+", "4", "4-", "3+", "3", "3-", "2+", "2", "2-", "1+", "1", "1-", "0"})</f>
        <v>1+</v>
      </c>
    </row>
    <row ht="30" outlineLevel="0" r="13">
      <c r="A13" s="21" t="n">
        <v>618</v>
      </c>
      <c r="B13" s="21" t="s">
        <v>38</v>
      </c>
      <c r="C13" s="201" t="n">
        <v>9</v>
      </c>
      <c r="D13" s="204" t="n">
        <v>4031392433.47</v>
      </c>
      <c r="E13" s="202" t="n">
        <v>18812786981.15</v>
      </c>
      <c r="F13" s="203" t="n">
        <f aca="false" ca="false" dt2D="false" dtr="false" t="normal">ROUND(C13*(1-D13/E13), 2)</f>
        <v>7.07</v>
      </c>
      <c r="G13" s="203" t="n">
        <v>5</v>
      </c>
      <c r="H13" s="186" t="str">
        <f aca="false" ca="false" dt2D="false" dtr="false" t="normal">LOOKUP(F13, {0, 3, 5, 7, 9.99, 10, 13, 19.99, 20, 25, 29.99, 30, 37, 39.99, 40, 45, 49.99, 50, 53, 57, 99.99}, {"5+", "5", "5-", "4+", "4", "4-", "3+", "3", "3-", "2+", "2", "2-", "1+", "1", "1-", "0"})</f>
        <v>4+</v>
      </c>
    </row>
    <row ht="30" outlineLevel="0" r="14">
      <c r="A14" s="21" t="n">
        <v>619</v>
      </c>
      <c r="B14" s="21" t="s">
        <v>44</v>
      </c>
      <c r="C14" s="201" t="n">
        <v>66</v>
      </c>
      <c r="D14" s="204" t="n">
        <v>275168648.27</v>
      </c>
      <c r="E14" s="202" t="n">
        <v>18812786981.15</v>
      </c>
      <c r="F14" s="203" t="n">
        <f aca="false" ca="false" dt2D="false" dtr="false" t="normal">ROUND(C14*(1-D14/E14), 2)</f>
        <v>65.03</v>
      </c>
      <c r="G14" s="203" t="n">
        <v>0</v>
      </c>
      <c r="H14" s="186" t="e">
        <f aca="false" ca="false" dt2D="false" dtr="false" t="normal">LOOKUP(F14, {0, 3, 5, 7, 9.99, 10, 13, 19.99, 20, 25, 29.99, 30, 37, 39.99, 40, 45, 49.99, 50, 53, 57, 99.99}, {"5+", "5", "5-", "4+", "4", "4-", "3+", "3", "3-", "2+", "2", "2-", "1+", "1", "1-", "0"})</f>
        <v>#N/A</v>
      </c>
    </row>
    <row ht="30" outlineLevel="0" r="15">
      <c r="A15" s="21" t="n">
        <v>606</v>
      </c>
      <c r="B15" s="21" t="s">
        <v>46</v>
      </c>
      <c r="C15" s="201" t="n">
        <v>23</v>
      </c>
      <c r="D15" s="204" t="n">
        <v>222857183.03</v>
      </c>
      <c r="E15" s="202" t="n">
        <v>18812786981.15</v>
      </c>
      <c r="F15" s="203" t="n">
        <f aca="false" ca="false" dt2D="false" dtr="false" t="normal">ROUND(C15*(1-D15/E15), 2)</f>
        <v>22.73</v>
      </c>
      <c r="G15" s="203" t="n">
        <v>3</v>
      </c>
      <c r="H15" s="186" t="str">
        <f aca="false" ca="false" dt2D="false" dtr="false" t="normal">LOOKUP(F15, {0, 3, 5, 7, 9.99, 10, 13, 19.99, 20, 25, 29.99, 30, 37, 39.99, 40, 45, 49.99, 50, 53, 57, 99.99}, {"5+", "5", "5-", "4+", "4", "4-", "3+", "3", "3-", "2+", "2", "2-", "1+", "1", "1-", "0"})</f>
        <v>3-</v>
      </c>
    </row>
    <row ht="30" outlineLevel="0" r="16">
      <c r="A16" s="21" t="n">
        <v>621</v>
      </c>
      <c r="B16" s="21" t="s">
        <v>54</v>
      </c>
      <c r="C16" s="201" t="n">
        <v>38</v>
      </c>
      <c r="D16" s="204" t="n">
        <v>223406143.77</v>
      </c>
      <c r="E16" s="202" t="n">
        <v>18812786981.15</v>
      </c>
      <c r="F16" s="203" t="n">
        <f aca="false" ca="false" dt2D="false" dtr="false" t="normal">ROUND(C16*(1-D16/E16), 2)</f>
        <v>37.55</v>
      </c>
      <c r="G16" s="203" t="n">
        <v>2</v>
      </c>
      <c r="H16" s="186" t="str">
        <f aca="false" ca="false" dt2D="false" dtr="false" t="normal">LOOKUP(F16, {0, 3, 5, 7, 9.99, 10, 13, 19.99, 20, 25, 29.99, 30, 37, 39.99, 40, 45, 49.99, 50, 53, 57, 99.99}, {"5+", "5", "5-", "4+", "4", "4-", "3+", "3", "3-", "2+", "2", "2-", "1+", "1", "1-", "0"})</f>
        <v>1+</v>
      </c>
    </row>
    <row outlineLevel="0" r="17">
      <c r="A17" s="21" t="n">
        <v>601</v>
      </c>
      <c r="B17" s="21" t="s">
        <v>13</v>
      </c>
      <c r="C17" s="201" t="n">
        <v>38</v>
      </c>
      <c r="D17" s="204" t="n">
        <v>383358524.27</v>
      </c>
      <c r="E17" s="202" t="n">
        <v>18812786981.15</v>
      </c>
      <c r="F17" s="203" t="n">
        <f aca="false" ca="false" dt2D="false" dtr="false" t="normal">ROUND(C17*(1-D17/E17), 2)</f>
        <v>37.23</v>
      </c>
      <c r="G17" s="203" t="n">
        <v>2</v>
      </c>
      <c r="H17" s="186" t="str">
        <f aca="false" ca="false" dt2D="false" dtr="false" t="normal">LOOKUP(F17, {0, 3, 5, 7, 9.99, 10, 13, 15, 19.99, 20, 25, 27, 29.99, 30, 35, 37, 39.99, 40, 45, 49.99, 50, 53, 59.99, 99.99}, {"5+", "5", "5-", "4+", "4", "4-", "3+", "3", "3-", "2+", "2", "2-", "1+", "1", "1-", "0"})</f>
        <v>0</v>
      </c>
    </row>
    <row ht="45" outlineLevel="0" r="18">
      <c r="A18" s="21" t="n">
        <v>605</v>
      </c>
      <c r="B18" s="21" t="s">
        <v>45</v>
      </c>
      <c r="C18" s="201" t="n">
        <v>123</v>
      </c>
      <c r="D18" s="204" t="n">
        <v>2074329803.05</v>
      </c>
      <c r="E18" s="202" t="n">
        <v>18812786981.15</v>
      </c>
      <c r="F18" s="203" t="n">
        <f aca="false" ca="false" dt2D="false" dtr="false" t="normal">ROUND(C18*(1-D18/E18), 2)</f>
        <v>109.44</v>
      </c>
      <c r="G18" s="203" t="n">
        <v>0</v>
      </c>
      <c r="H18" s="186" t="e">
        <f aca="false" ca="false" dt2D="false" dtr="false" t="normal">LOOKUP(F18, {0, 3, 5, 7, 9.99, 10, 13, 19.99, 20, 25, 29.99, 30, 37, 39.99, 40, 45, 49.99, 50, 53, 57, 99.99}, {"5+", "5", "5-", "4+", "4", "4-", "3+", "3", "3-", "2+", "2", "2-", "1+", "1", "1-", "0"})</f>
        <v>#N/A</v>
      </c>
    </row>
    <row ht="30" outlineLevel="0" r="19">
      <c r="A19" s="21" t="n">
        <v>611</v>
      </c>
      <c r="B19" s="21" t="s">
        <v>47</v>
      </c>
      <c r="C19" s="201" t="n">
        <v>55</v>
      </c>
      <c r="D19" s="204" t="n">
        <v>3168800803.39</v>
      </c>
      <c r="E19" s="202" t="n">
        <v>18812786981.15</v>
      </c>
      <c r="F19" s="203" t="n">
        <f aca="false" ca="false" dt2D="false" dtr="false" t="normal">ROUND(C19*(1-D19/E19), 2)</f>
        <v>45.74</v>
      </c>
      <c r="G19" s="203" t="n">
        <v>1</v>
      </c>
      <c r="H19" s="186" t="str">
        <f aca="false" ca="false" dt2D="false" dtr="false" t="normal">LOOKUP(F19, {0, 3, 5, 7, 9.99, 10, 13, 19.99, 20, 25, 29.99, 30, 37, 39.99, 40, 45, 49.99, 50, 53, 57, 99.99}, {"5+", "5", "5-", "4+", "4", "4-", "3+", "3", "3-", "2+", "2", "2-", "1+", "1", "1-", "0"})</f>
        <v>0</v>
      </c>
    </row>
    <row ht="45" outlineLevel="0" r="20">
      <c r="A20" s="21" t="n">
        <v>624</v>
      </c>
      <c r="B20" s="21" t="s">
        <v>40</v>
      </c>
      <c r="C20" s="201" t="n">
        <v>69</v>
      </c>
      <c r="D20" s="204" t="n">
        <v>130509349.63</v>
      </c>
      <c r="E20" s="202" t="n">
        <v>18812786981.15</v>
      </c>
      <c r="F20" s="203" t="n">
        <f aca="false" ca="false" dt2D="false" dtr="false" t="normal">ROUND(C20*(1-D20/E20), 2)</f>
        <v>68.52</v>
      </c>
      <c r="G20" s="203" t="n">
        <v>0</v>
      </c>
      <c r="H20" s="186" t="e">
        <f aca="false" ca="false" dt2D="false" dtr="false" t="normal">LOOKUP(F20, {0, 3, 5, 7, 9.99, 10, 13, 15, 19.99, 20, 25, 27, 29.99, 30, 35, 37, 39.99, 40, 45, 49.99, 50, 53, 59.99, 99.99}, {"5+", "5", "5-", "4+", "4", "4-", "3+", "3", "3-", "2+", "2", "2-", "1+", "1", "1-", "0"})</f>
        <v>#N/A</v>
      </c>
    </row>
    <row ht="30" outlineLevel="0" r="21">
      <c r="A21" s="21" t="n">
        <v>620</v>
      </c>
      <c r="B21" s="21" t="s">
        <v>48</v>
      </c>
      <c r="C21" s="201" t="n">
        <v>13</v>
      </c>
      <c r="D21" s="205" t="n">
        <v>25334489.19</v>
      </c>
      <c r="E21" s="202" t="n">
        <v>18812786981.15</v>
      </c>
      <c r="F21" s="203" t="n">
        <f aca="false" ca="false" dt2D="false" dtr="false" t="normal">ROUND(C21*(1-D21/E21), 2)</f>
        <v>12.98</v>
      </c>
      <c r="G21" s="203" t="n">
        <v>4</v>
      </c>
      <c r="H21" s="186" t="str">
        <f aca="false" ca="false" dt2D="false" dtr="false" t="normal">LOOKUP(F21, {0, 3, 5, 7, 9.99, 10, 13, 19.99, 20, 25, 29.99, 30, 37, 39.99, 40, 45, 49.99, 50, 53, 57, 99.99}, {"5+", "5", "5-", "4+", "4", "4-", "3+", "3", "3-", "2+", "2", "2-", "1+", "1", "1-", "0"})</f>
        <v>4-</v>
      </c>
    </row>
    <row outlineLevel="0" r="22">
      <c r="A22" s="57" t="n"/>
      <c r="B22" s="57" t="n"/>
      <c r="C22" s="206" t="n"/>
      <c r="D22" s="206" t="n"/>
      <c r="E22" s="206" t="n"/>
      <c r="F22" s="161" t="n"/>
      <c r="G22" s="161" t="n"/>
    </row>
    <row outlineLevel="0" r="23">
      <c r="A23" s="57" t="n"/>
      <c r="B23" s="57" t="s">
        <v>23</v>
      </c>
      <c r="C23" s="206" t="n"/>
      <c r="D23" s="206" t="n"/>
      <c r="E23" s="206" t="n"/>
      <c r="F23" s="161" t="n">
        <f aca="false" ca="true" dt2D="false" dtr="false" t="normal">SUBTOTAL(9, F6:F21)</f>
        <v>650.7600000000001</v>
      </c>
      <c r="G23" s="161" t="n"/>
    </row>
    <row customFormat="true" ht="14.25" outlineLevel="0" r="24" s="158">
      <c r="A24" s="60" t="n"/>
      <c r="B24" s="60" t="s">
        <v>24</v>
      </c>
      <c r="C24" s="207" t="n"/>
      <c r="D24" s="207" t="n"/>
      <c r="E24" s="207" t="n"/>
      <c r="F24" s="173" t="n">
        <f aca="false" ca="false" dt2D="false" dtr="false" t="normal">ROUND(F23/16, 2)</f>
        <v>40.67</v>
      </c>
      <c r="G24" s="173" t="n"/>
    </row>
    <row outlineLevel="0" r="27">
      <c r="C27" s="208" t="n">
        <f aca="false" ca="false" dt2D="false" dtr="false" t="normal">SUM(C7:C20)</f>
        <v>664</v>
      </c>
      <c r="D27" s="208" t="n">
        <f aca="false" ca="false" dt2D="false" dtr="false" t="normal">SUM(D6:D21)</f>
        <v>18812786981.15</v>
      </c>
      <c r="E27" s="208" t="n">
        <f aca="false" ca="false" dt2D="false" dtr="false" t="normal">SUM(E16:E20)</f>
        <v>94063934905.75</v>
      </c>
    </row>
    <row outlineLevel="0" r="28">
      <c r="C28" s="208" t="n">
        <v>481</v>
      </c>
      <c r="D28" s="208" t="n">
        <v>9996589901.84</v>
      </c>
    </row>
    <row outlineLevel="0" r="29">
      <c r="C29" s="208" t="n">
        <f aca="false" ca="false" dt2D="false" dtr="false" t="normal">C27-C28</f>
        <v>183</v>
      </c>
      <c r="D29" s="208" t="n">
        <f aca="false" ca="false" dt2D="false" dtr="false" t="normal">D27-D28</f>
        <v>8816197079.310001</v>
      </c>
    </row>
  </sheetData>
  <autoFilter ref="A5:G21"/>
  <mergeCells count="2">
    <mergeCell ref="A1:G1"/>
    <mergeCell ref="A2:G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56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9"/>
  <sheetViews>
    <sheetView showZeros="true" topLeftCell="A4" workbookViewId="0">
      <pane activePane="bottomLeft" state="frozen" topLeftCell="A6" xSplit="0" ySplit="2"/>
    </sheetView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3" min="3" outlineLevel="0" style="3" width="33.4257812982388"/>
    <col customWidth="true" max="4" min="4" outlineLevel="0" style="3" width="29.4257806215741"/>
    <col customWidth="true" max="5" min="5" outlineLevel="0" style="3" width="15.4257809599064"/>
    <col customWidth="true" max="7" min="6" outlineLevel="0" style="3" width="13.1406246325922"/>
    <col bestFit="true" customWidth="true" max="8" min="8" outlineLevel="0" style="3" width="9.14062530925693"/>
    <col customWidth="true" max="9" min="9" outlineLevel="0" style="3" width="28.7109384713839"/>
    <col bestFit="true" customWidth="true" max="10" min="10" outlineLevel="0" style="3" width="15.2851564964804"/>
    <col bestFit="true" customWidth="true" max="16384" min="11" outlineLevel="0" style="3" width="9.14062530925693"/>
  </cols>
  <sheetData>
    <row customFormat="true" customHeight="true" ht="32.25" outlineLevel="0" r="1" s="197">
      <c r="A1" s="198" t="s">
        <v>102</v>
      </c>
      <c r="B1" s="198" t="s"/>
      <c r="C1" s="198" t="s"/>
      <c r="D1" s="198" t="s"/>
      <c r="E1" s="198" t="s"/>
      <c r="F1" s="198" t="s"/>
      <c r="G1" s="198" t="n"/>
    </row>
    <row ht="19.5" outlineLevel="0" r="2">
      <c r="A2" s="199" t="s">
        <v>142</v>
      </c>
      <c r="B2" s="199" t="s"/>
      <c r="C2" s="199" t="s"/>
      <c r="D2" s="199" t="s"/>
      <c r="E2" s="199" t="s"/>
      <c r="F2" s="199" t="s"/>
      <c r="G2" s="199" t="n"/>
    </row>
    <row outlineLevel="0" r="3">
      <c r="I3" s="209" t="n">
        <v>20</v>
      </c>
    </row>
    <row outlineLevel="0" r="4">
      <c r="A4" s="159" t="n"/>
      <c r="F4" s="200" t="s">
        <v>135</v>
      </c>
      <c r="G4" s="200" t="n"/>
    </row>
    <row ht="105" outlineLevel="0" r="5">
      <c r="A5" s="53" t="s">
        <v>35</v>
      </c>
      <c r="B5" s="53" t="s">
        <v>2</v>
      </c>
      <c r="C5" s="53" t="s">
        <v>143</v>
      </c>
      <c r="D5" s="53" t="s">
        <v>144</v>
      </c>
      <c r="E5" s="53" t="s">
        <v>145</v>
      </c>
      <c r="F5" s="53" t="s">
        <v>140</v>
      </c>
      <c r="G5" s="210" t="n"/>
      <c r="I5" s="211" t="s">
        <v>146</v>
      </c>
    </row>
    <row ht="30" outlineLevel="0" r="6">
      <c r="A6" s="212" t="n">
        <v>606</v>
      </c>
      <c r="B6" s="212" t="s">
        <v>46</v>
      </c>
      <c r="C6" s="213" t="n">
        <v>6209122516.43</v>
      </c>
      <c r="D6" s="213" t="n">
        <v>6262252639.46</v>
      </c>
      <c r="E6" s="214" t="n">
        <f aca="false" ca="false" dt2D="false" dtr="false" t="normal">ROUND(C6/D6*100, 2)</f>
        <v>99.15</v>
      </c>
      <c r="F6" s="215" t="n">
        <f aca="false" ca="false" dt2D="false" dtr="false" t="normal">VALUE(LEFT(G6, 1))</f>
        <v>5</v>
      </c>
      <c r="G6" s="186" t="str">
        <f aca="false" ca="false" dt2D="false" dtr="false" t="normal">LOOKUP(E6, {0, 30, 33, 37, 40, 43, 47, 50, 53, 57, 70, 73, 77, 80, 83, 87, 100, 103, 107}, {"0", "1-", "1", "1+", "2-", "2", "2+", "3-", "3", "3+", "4-", "4", "4+", "5-", "5", "5+"})</f>
        <v>5+</v>
      </c>
      <c r="H6" s="3" t="n">
        <f aca="false" ca="false" dt2D="false" dtr="false" t="normal">VALUE(LEFT(F6, 1))</f>
        <v>5</v>
      </c>
      <c r="I6" s="206" t="n">
        <v>801477.06</v>
      </c>
      <c r="J6" s="206" t="n">
        <v>34965453.4</v>
      </c>
    </row>
    <row ht="30" outlineLevel="0" r="7">
      <c r="A7" s="212" t="n">
        <v>621</v>
      </c>
      <c r="B7" s="212" t="s">
        <v>54</v>
      </c>
      <c r="C7" s="213" t="n">
        <v>2763569284.95</v>
      </c>
      <c r="D7" s="213" t="n">
        <v>3168800803.39</v>
      </c>
      <c r="E7" s="214" t="n">
        <f aca="false" ca="false" dt2D="false" dtr="false" t="normal">ROUND(C7/D7*100, 2)</f>
        <v>87.21</v>
      </c>
      <c r="F7" s="215" t="n">
        <f aca="false" ca="false" dt2D="false" dtr="false" t="normal">VALUE(LEFT(G7, 1))</f>
        <v>5</v>
      </c>
      <c r="G7" s="186" t="str">
        <f aca="false" ca="false" dt2D="false" dtr="false" t="normal">LOOKUP(E7, {0, 30, 33, 37, 40, 43, 47, 50, 53, 57, 70, 73, 77, 80, 83, 87, 100, 103, 107}, {"0", "1-", "1", "1+", "2-", "2", "2+", "3-", "3", "3+", "4-", "4", "4+", "5-", "5", "5+"})</f>
        <v>5+</v>
      </c>
      <c r="H7" s="3" t="n">
        <f aca="false" ca="false" dt2D="false" dtr="false" t="normal">VALUE(LEFT(F7, 1))</f>
        <v>5</v>
      </c>
      <c r="I7" s="216" t="n">
        <v>13219769.55</v>
      </c>
      <c r="J7" s="216" t="n">
        <v>1548388148.11</v>
      </c>
      <c r="L7" s="217" t="n">
        <v>601</v>
      </c>
    </row>
    <row ht="30" outlineLevel="0" r="8">
      <c r="A8" s="212" t="n">
        <v>620</v>
      </c>
      <c r="B8" s="212" t="s">
        <v>48</v>
      </c>
      <c r="C8" s="213" t="n">
        <v>1982914220.17</v>
      </c>
      <c r="D8" s="213" t="n">
        <v>2074329803.05</v>
      </c>
      <c r="E8" s="214" t="n">
        <f aca="false" ca="false" dt2D="false" dtr="false" t="normal">ROUND(C8/D8*100, 2)</f>
        <v>95.59</v>
      </c>
      <c r="F8" s="215" t="n">
        <f aca="false" ca="false" dt2D="false" dtr="false" t="normal">VALUE(LEFT(G8, 1))</f>
        <v>5</v>
      </c>
      <c r="G8" s="186" t="str">
        <f aca="false" ca="false" dt2D="false" dtr="false" t="normal">LOOKUP(E8, {0, 30, 33, 37, 40, 43, 47, 50, 53, 57, 70, 73, 77, 80, 83, 87, 100, 103, 107}, {"0", "1-", "1", "1+", "2-", "2", "2+", "3-", "3", "3+", "4-", "4", "4+", "5-", "5", "5+"})</f>
        <v>5+</v>
      </c>
      <c r="H8" s="3" t="n">
        <f aca="false" ca="false" dt2D="false" dtr="false" t="normal">VALUE(LEFT(F8, 1))</f>
        <v>5</v>
      </c>
      <c r="I8" s="216" t="n">
        <v>53626441.79</v>
      </c>
      <c r="J8" s="216" t="n">
        <v>631193238.28</v>
      </c>
      <c r="L8" s="217" t="n">
        <v>602</v>
      </c>
    </row>
    <row ht="30" outlineLevel="0" r="9">
      <c r="A9" s="212" t="n">
        <v>607</v>
      </c>
      <c r="B9" s="212" t="s">
        <v>50</v>
      </c>
      <c r="C9" s="213" t="n">
        <v>749652329.66</v>
      </c>
      <c r="D9" s="213" t="n">
        <v>773248544.88</v>
      </c>
      <c r="E9" s="214" t="n">
        <f aca="false" ca="false" dt2D="false" dtr="false" t="normal">ROUND(C9/D9*100, 2)</f>
        <v>96.95</v>
      </c>
      <c r="F9" s="215" t="n">
        <f aca="false" ca="false" dt2D="false" dtr="false" t="normal">VALUE(LEFT(G9, 1))</f>
        <v>5</v>
      </c>
      <c r="G9" s="186" t="str">
        <f aca="false" ca="false" dt2D="false" dtr="false" t="normal">LOOKUP(E9, {0, 30, 33, 37, 40, 43, 47, 50, 53, 57, 70, 73, 77, 80, 83, 87, 100, 103, 107}, {"0", "1-", "1", "1+", "2-", "2", "2+", "3-", "3", "3+", "4-", "4", "4+", "5-", "5", "5+"})</f>
        <v>5+</v>
      </c>
      <c r="H9" s="3" t="n">
        <f aca="false" ca="false" dt2D="false" dtr="false" t="normal">VALUE(LEFT(F9, 1))</f>
        <v>5</v>
      </c>
      <c r="I9" s="216" t="n">
        <v>286640.47</v>
      </c>
      <c r="J9" s="216" t="n">
        <v>595153269.37</v>
      </c>
      <c r="L9" s="217" t="n">
        <v>604</v>
      </c>
    </row>
    <row ht="30" outlineLevel="0" r="10">
      <c r="A10" s="212" t="n">
        <v>619</v>
      </c>
      <c r="B10" s="212" t="s">
        <v>44</v>
      </c>
      <c r="C10" s="213" t="n">
        <v>307603424.48</v>
      </c>
      <c r="D10" s="213" t="n">
        <v>383358524.27</v>
      </c>
      <c r="E10" s="214" t="n">
        <f aca="false" ca="false" dt2D="false" dtr="false" t="normal">ROUND(C10/D10*100, 2)</f>
        <v>80.24</v>
      </c>
      <c r="F10" s="215" t="n">
        <f aca="false" ca="false" dt2D="false" dtr="false" t="normal">VALUE(LEFT(G10, 1))</f>
        <v>5</v>
      </c>
      <c r="G10" s="186" t="str">
        <f aca="false" ca="false" dt2D="false" dtr="false" t="normal">LOOKUP(E10, {0, 30, 33, 37, 40, 43, 47, 50, 53, 57, 70, 73, 77, 80, 83, 87, 100, 103, 107}, {"0", "1-", "1", "1+", "2-", "2", "2+", "3-", "3", "3+", "4-", "4", "4+", "5-", "5", "5+"})</f>
        <v>5-</v>
      </c>
      <c r="H10" s="3" t="n">
        <f aca="false" ca="false" dt2D="false" dtr="false" t="normal">VALUE(LEFT(F10, 1))</f>
        <v>5</v>
      </c>
      <c r="I10" s="216" t="n">
        <v>25118123.97</v>
      </c>
      <c r="J10" s="216" t="n">
        <v>119914293.14</v>
      </c>
      <c r="L10" s="217" t="n">
        <v>605</v>
      </c>
    </row>
    <row ht="30" outlineLevel="0" r="11">
      <c r="A11" s="212" t="n">
        <v>611</v>
      </c>
      <c r="B11" s="212" t="s">
        <v>47</v>
      </c>
      <c r="C11" s="213" t="n">
        <v>252898085.96</v>
      </c>
      <c r="D11" s="213" t="n">
        <v>275168648.27</v>
      </c>
      <c r="E11" s="214" t="n">
        <f aca="false" ca="false" dt2D="false" dtr="false" t="normal">ROUND(C11/D11*100, 2)</f>
        <v>91.91</v>
      </c>
      <c r="F11" s="215" t="n">
        <f aca="false" ca="false" dt2D="false" dtr="false" t="normal">VALUE(LEFT(G11, 1))</f>
        <v>5</v>
      </c>
      <c r="G11" s="186" t="str">
        <f aca="false" ca="false" dt2D="false" dtr="false" t="normal">LOOKUP(E11, {0, 30, 33, 37, 40, 43, 47, 50, 53, 57, 70, 73, 77, 80, 83, 87, 100, 103, 107}, {"0", "1-", "1", "1+", "2-", "2", "2+", "3-", "3", "3+", "4-", "4", "4+", "5-", "5", "5+"})</f>
        <v>5+</v>
      </c>
      <c r="H11" s="3" t="n">
        <f aca="false" ca="false" dt2D="false" dtr="false" t="normal">VALUE(LEFT(F11, 1))</f>
        <v>5</v>
      </c>
      <c r="I11" s="216" t="n">
        <v>1836381.91</v>
      </c>
      <c r="J11" s="216" t="n">
        <v>197840185.69</v>
      </c>
      <c r="L11" s="217" t="n">
        <v>606</v>
      </c>
    </row>
    <row ht="30" outlineLevel="0" r="12">
      <c r="A12" s="212" t="n">
        <v>618</v>
      </c>
      <c r="B12" s="212" t="s">
        <v>147</v>
      </c>
      <c r="C12" s="213" t="n">
        <v>178092009.04</v>
      </c>
      <c r="D12" s="213" t="n">
        <v>223406143.77</v>
      </c>
      <c r="E12" s="214" t="n">
        <f aca="false" ca="false" dt2D="false" dtr="false" t="normal">ROUND(C12/D12*100, 2)</f>
        <v>79.72</v>
      </c>
      <c r="F12" s="215" t="n">
        <f aca="false" ca="false" dt2D="false" dtr="false" t="normal">VALUE(LEFT(G12, 1))</f>
        <v>4</v>
      </c>
      <c r="G12" s="186" t="str">
        <f aca="false" ca="false" dt2D="false" dtr="false" t="normal">LOOKUP(E12, {0, 30, 33, 37, 40, 43, 47, 50, 53, 57, 70, 73, 77, 80, 83, 87, 100, 103, 107}, {"0", "1-", "1", "1+", "2-", "2", "2+", "3-", "3", "3+", "4-", "4", "4+", "5-", "5", "5+"})</f>
        <v>4+</v>
      </c>
      <c r="H12" s="3" t="n">
        <f aca="false" ca="false" dt2D="false" dtr="false" t="normal">VALUE(LEFT(F12, 1))</f>
        <v>4</v>
      </c>
      <c r="I12" s="216" t="n">
        <v>6321670.29</v>
      </c>
      <c r="J12" s="216" t="n">
        <v>78131796.02</v>
      </c>
      <c r="L12" s="217" t="n">
        <v>607</v>
      </c>
    </row>
    <row ht="30" outlineLevel="0" r="13">
      <c r="A13" s="212" t="n">
        <v>617</v>
      </c>
      <c r="B13" s="212" t="s">
        <v>42</v>
      </c>
      <c r="C13" s="213" t="n">
        <v>172365548.08</v>
      </c>
      <c r="D13" s="213" t="n">
        <v>222857183.03</v>
      </c>
      <c r="E13" s="214" t="n">
        <f aca="false" ca="false" dt2D="false" dtr="false" t="normal">ROUND(C13/D13*100, 2)</f>
        <v>77.34</v>
      </c>
      <c r="F13" s="215" t="n">
        <f aca="false" ca="false" dt2D="false" dtr="false" t="normal">VALUE(LEFT(G13, 1))</f>
        <v>4</v>
      </c>
      <c r="G13" s="186" t="str">
        <f aca="false" ca="false" dt2D="false" dtr="false" t="normal">LOOKUP(E13, {0, 30, 33, 37, 40, 43, 47, 50, 53, 57, 70, 73, 77, 80, 83, 87, 100, 103, 107}, {"0", "1-", "1", "1+", "2-", "2", "2+", "3-", "3", "3+", "4-", "4", "4+", "5-", "5", "5+"})</f>
        <v>4+</v>
      </c>
      <c r="H13" s="3" t="n">
        <f aca="false" ca="false" dt2D="false" dtr="false" t="normal">VALUE(LEFT(F13, 1))</f>
        <v>4</v>
      </c>
      <c r="I13" s="216" t="n">
        <v>3356833.56</v>
      </c>
      <c r="J13" s="216" t="n">
        <v>104246773.49</v>
      </c>
      <c r="L13" s="217" t="n">
        <v>609</v>
      </c>
    </row>
    <row ht="30" outlineLevel="0" r="14">
      <c r="A14" s="212" t="n">
        <v>605</v>
      </c>
      <c r="B14" s="212" t="s">
        <v>80</v>
      </c>
      <c r="C14" s="213" t="n">
        <v>127169176.83</v>
      </c>
      <c r="D14" s="213" t="n">
        <v>200922573.6</v>
      </c>
      <c r="E14" s="214" t="n">
        <f aca="false" ca="false" dt2D="false" dtr="false" t="normal">ROUND(C14/D14*100, 2)</f>
        <v>63.29</v>
      </c>
      <c r="F14" s="215" t="n">
        <f aca="false" ca="false" dt2D="false" dtr="false" t="normal">VALUE(LEFT(G14, 1))</f>
        <v>3</v>
      </c>
      <c r="G14" s="186" t="str">
        <f aca="false" ca="false" dt2D="false" dtr="false" t="normal">LOOKUP(E14, {0, 30, 33, 37, 40, 43, 47, 50, 53, 57, 70, 73, 77, 80, 83, 87, 100, 103, 107}, {"0", "1-", "1", "1+", "2-", "2", "2+", "3-", "3", "3+", "4-", "4", "4+", "5-", "5", "5+"})</f>
        <v>3+</v>
      </c>
      <c r="H14" s="3" t="n">
        <f aca="false" ca="false" dt2D="false" dtr="false" t="normal">VALUE(LEFT(F14, 1))</f>
        <v>3</v>
      </c>
      <c r="I14" s="216" t="n">
        <v>827353.17</v>
      </c>
      <c r="J14" s="216" t="n">
        <v>58981635.47</v>
      </c>
      <c r="L14" s="217" t="n">
        <v>611</v>
      </c>
    </row>
    <row ht="30" outlineLevel="0" r="15">
      <c r="A15" s="212" t="n">
        <v>602</v>
      </c>
      <c r="B15" s="212" t="s">
        <v>53</v>
      </c>
      <c r="C15" s="213" t="n">
        <v>118383669.53</v>
      </c>
      <c r="D15" s="213" t="n">
        <v>273092765.39</v>
      </c>
      <c r="E15" s="214" t="n">
        <f aca="false" ca="false" dt2D="false" dtr="false" t="normal">ROUND(C15/D15*100, 2)</f>
        <v>43.35</v>
      </c>
      <c r="F15" s="215" t="n">
        <f aca="false" ca="false" dt2D="false" dtr="false" t="normal">VALUE(LEFT(G15, 1))</f>
        <v>2</v>
      </c>
      <c r="G15" s="186" t="str">
        <f aca="false" ca="false" dt2D="false" dtr="false" t="normal">LOOKUP(E15, {0, 30, 33, 37, 40, 43, 47, 50, 53, 57, 70, 73, 77, 80, 83, 87, 100, 103, 107}, {"0", "1-", "1", "1+", "2-", "2", "2+", "3-", "3", "3+", "4-", "4", "4+", "5-", "5", "5+"})</f>
        <v>2</v>
      </c>
      <c r="H15" s="3" t="n">
        <f aca="false" ca="false" dt2D="false" dtr="false" t="normal">VALUE(LEFT(F15, 1))</f>
        <v>2</v>
      </c>
      <c r="I15" s="216" t="n">
        <v>3306432.9</v>
      </c>
      <c r="J15" s="216" t="n">
        <v>65881203.38</v>
      </c>
      <c r="L15" s="217" t="n">
        <v>617</v>
      </c>
    </row>
    <row ht="45" outlineLevel="0" r="16">
      <c r="A16" s="212" t="n">
        <v>624</v>
      </c>
      <c r="B16" s="212" t="s">
        <v>40</v>
      </c>
      <c r="C16" s="213" t="n">
        <v>108953843.08</v>
      </c>
      <c r="D16" s="213" t="n">
        <v>130509349.63</v>
      </c>
      <c r="E16" s="214" t="n">
        <f aca="false" ca="false" dt2D="false" dtr="false" t="normal">ROUND(C16/D16*100, 2)</f>
        <v>83.48</v>
      </c>
      <c r="F16" s="215" t="n">
        <v>4</v>
      </c>
      <c r="G16" s="186" t="str">
        <f aca="false" ca="false" dt2D="false" dtr="false" t="normal">LOOKUP(E16, {0, 30, 33, 37, 40, 43, 47, 50, 53, 57, 70, 73, 77, 80, 83, 87, 100, 103, 107}, {"0", "1-", "1", "1+", "2-", "2", "2+", "3-", "3", "3+", "4-", "4", "4+", "5-", "5", "5+"})</f>
        <v>5</v>
      </c>
      <c r="H16" s="3" t="n">
        <f aca="false" ca="false" dt2D="false" dtr="false" t="normal">VALUE(LEFT(F16, 1))</f>
        <v>4</v>
      </c>
      <c r="I16" s="216" t="n">
        <v>349098.54</v>
      </c>
      <c r="J16" s="216" t="n">
        <v>31892285.5</v>
      </c>
      <c r="L16" s="217" t="n">
        <v>618</v>
      </c>
    </row>
    <row ht="30" outlineLevel="0" r="17">
      <c r="A17" s="212" t="n">
        <v>604</v>
      </c>
      <c r="B17" s="212" t="s">
        <v>49</v>
      </c>
      <c r="C17" s="213" t="n">
        <v>105368830</v>
      </c>
      <c r="D17" s="213" t="n">
        <v>409265921.33</v>
      </c>
      <c r="E17" s="214" t="n">
        <f aca="false" ca="false" dt2D="false" dtr="false" t="normal">ROUND(C17/D17*100, 2)</f>
        <v>25.75</v>
      </c>
      <c r="F17" s="215" t="n">
        <f aca="false" ca="false" dt2D="false" dtr="false" t="normal">VALUE(LEFT(G17, 1))</f>
        <v>0</v>
      </c>
      <c r="G17" s="186" t="str">
        <f aca="false" ca="false" dt2D="false" dtr="false" t="normal">LOOKUP(E17, {0, 30, 33, 37, 40, 43, 47, 50, 53, 57, 70, 73, 77, 80, 83, 87, 100, 103, 107}, {"0", "1-", "1", "1+", "2-", "2", "2+", "3-", "3", "3+", "4-", "4", "4+", "5-", "5", "5+"})</f>
        <v>0</v>
      </c>
      <c r="H17" s="3" t="n">
        <f aca="false" ca="false" dt2D="false" dtr="false" t="normal">VALUE(LEFT(F17, 1))</f>
        <v>0</v>
      </c>
      <c r="I17" s="216" t="n">
        <v>526592.82</v>
      </c>
      <c r="J17" s="216" t="n">
        <v>225094603.7</v>
      </c>
      <c r="L17" s="217" t="n">
        <v>619</v>
      </c>
    </row>
    <row ht="45" outlineLevel="0" r="18">
      <c r="A18" s="218" t="n">
        <v>609</v>
      </c>
      <c r="B18" s="212" t="s">
        <v>37</v>
      </c>
      <c r="C18" s="213" t="n">
        <v>3936712453.9</v>
      </c>
      <c r="D18" s="213" t="n">
        <v>4131212151.53</v>
      </c>
      <c r="E18" s="214" t="n">
        <f aca="false" ca="false" dt2D="false" dtr="false" t="normal">ROUND(C18/D18*100, 2)</f>
        <v>95.29</v>
      </c>
      <c r="F18" s="215" t="n">
        <f aca="false" ca="false" dt2D="false" dtr="false" t="normal">VALUE(LEFT(G18, 1))</f>
        <v>5</v>
      </c>
      <c r="G18" s="186" t="str">
        <f aca="false" ca="false" dt2D="false" dtr="false" t="normal">LOOKUP(E18, {0, 30, 33, 37, 40, 43, 47, 50, 53, 57, 70, 73, 77, 80, 83, 87, 100, 103, 107}, {"0", "1-", "1", "1+", "2-", "2", "2+", "3-", "3", "3+", "4-", "4", "4+", "5-", "5", "5+"})</f>
        <v>5+</v>
      </c>
      <c r="H18" s="3" t="n">
        <f aca="false" ca="false" dt2D="false" dtr="false" t="normal">VALUE(LEFT(F18, 1))</f>
        <v>5</v>
      </c>
      <c r="I18" s="216" t="n">
        <v>1914656.14</v>
      </c>
      <c r="J18" s="216" t="n">
        <v>93458057.91</v>
      </c>
      <c r="L18" s="217" t="n">
        <v>620</v>
      </c>
    </row>
    <row outlineLevel="0" r="19">
      <c r="A19" s="212" t="n">
        <v>601</v>
      </c>
      <c r="B19" s="212" t="s">
        <v>13</v>
      </c>
      <c r="C19" s="213" t="n">
        <v>64433290.57</v>
      </c>
      <c r="D19" s="213" t="n">
        <v>336327660.35</v>
      </c>
      <c r="E19" s="214" t="n">
        <f aca="false" ca="false" dt2D="false" dtr="false" t="normal">ROUND(C19/D19*100, 2)</f>
        <v>19.16</v>
      </c>
      <c r="F19" s="215" t="n">
        <f aca="false" ca="false" dt2D="false" dtr="false" t="normal">VALUE(LEFT(G19, 1))</f>
        <v>0</v>
      </c>
      <c r="G19" s="186" t="str">
        <f aca="false" ca="false" dt2D="false" dtr="false" t="normal">LOOKUP(E19, {0, 30, 33, 37, 40, 43, 47, 50, 53, 57, 70, 73, 77, 80, 83, 87, 100, 103, 107}, {"0", "1-", "1", "1+", "2-", "2", "2+", "3-", "3", "3+", "4-", "4", "4+", "5-", "5", "5+"})</f>
        <v>0</v>
      </c>
      <c r="H19" s="3" t="n">
        <f aca="false" ca="false" dt2D="false" dtr="false" t="normal">VALUE(LEFT(F19, 1))</f>
        <v>0</v>
      </c>
      <c r="I19" s="216" t="n">
        <v>18617898.96</v>
      </c>
      <c r="J19" s="216" t="n">
        <v>265142095.9</v>
      </c>
      <c r="L19" s="217" t="n">
        <v>621</v>
      </c>
    </row>
    <row outlineLevel="0" r="20">
      <c r="A20" s="212" t="n">
        <v>600</v>
      </c>
      <c r="B20" s="212" t="s">
        <v>51</v>
      </c>
      <c r="C20" s="213" t="n"/>
      <c r="D20" s="213" t="n">
        <v>55976453.42</v>
      </c>
      <c r="E20" s="219" t="n">
        <f aca="false" ca="false" dt2D="false" dtr="false" t="normal">ROUND(C20/D20*100, 2)</f>
        <v>0</v>
      </c>
      <c r="F20" s="220" t="n">
        <v>0</v>
      </c>
      <c r="G20" s="221" t="n"/>
      <c r="I20" s="55" t="n"/>
      <c r="J20" s="55" t="n"/>
      <c r="L20" s="217" t="n">
        <v>624</v>
      </c>
    </row>
    <row ht="30" outlineLevel="0" r="21">
      <c r="A21" s="212" t="n">
        <v>643</v>
      </c>
      <c r="B21" s="212" t="s">
        <v>52</v>
      </c>
      <c r="C21" s="222" t="n"/>
      <c r="D21" s="223" t="n">
        <v>25334489.19</v>
      </c>
      <c r="E21" s="219" t="n">
        <f aca="false" ca="false" dt2D="false" dtr="false" t="normal">ROUND(C21/D21*100, 2)</f>
        <v>0</v>
      </c>
      <c r="F21" s="181" t="n"/>
      <c r="G21" s="224" t="n"/>
      <c r="I21" s="206" t="n">
        <f aca="false" ca="false" dt2D="false" dtr="false" t="normal">6*100/14</f>
        <v>42.857142857142854</v>
      </c>
      <c r="J21" s="206" t="n"/>
    </row>
    <row outlineLevel="0" r="22">
      <c r="A22" s="57" t="n"/>
      <c r="D22" s="206" t="n"/>
      <c r="E22" s="161" t="n"/>
    </row>
    <row outlineLevel="0" r="23">
      <c r="A23" s="57" t="n"/>
      <c r="B23" s="57" t="s">
        <v>23</v>
      </c>
      <c r="C23" s="206" t="n"/>
      <c r="D23" s="206" t="n"/>
      <c r="E23" s="3" t="n">
        <f aca="false" ca="true" dt2D="false" dtr="false" t="normal">SUBTOTAL(9, E6:E19)</f>
        <v>1038.43</v>
      </c>
    </row>
    <row customFormat="true" ht="14.25" outlineLevel="0" r="24" s="158">
      <c r="A24" s="60" t="n"/>
      <c r="B24" s="60" t="s">
        <v>24</v>
      </c>
      <c r="C24" s="207" t="n"/>
      <c r="D24" s="207" t="n"/>
      <c r="E24" s="158" t="n">
        <f aca="false" ca="false" dt2D="false" dtr="false" t="normal">ROUND(E23/14, 2)</f>
        <v>74.17</v>
      </c>
    </row>
    <row outlineLevel="0" r="27">
      <c r="C27" s="208" t="n">
        <f aca="false" ca="false" dt2D="false" dtr="false" t="normal">SUM(C6:C20)</f>
        <v>17077238682.68</v>
      </c>
      <c r="D27" s="208" t="n">
        <f aca="false" ca="false" dt2D="false" dtr="false" t="normal">SUM(D7:D20)</f>
        <v>12658476525.910002</v>
      </c>
    </row>
    <row outlineLevel="0" r="28">
      <c r="C28" s="208" t="n">
        <v>130109371.13</v>
      </c>
      <c r="D28" s="225" t="n">
        <v>4380105748.34999</v>
      </c>
    </row>
    <row outlineLevel="0" r="29">
      <c r="C29" s="226" t="n">
        <f aca="false" ca="false" dt2D="false" dtr="false" t="normal">C27-C28</f>
        <v>16947129311.550001</v>
      </c>
      <c r="D29" s="226" t="n">
        <f aca="false" ca="false" dt2D="false" dtr="false" t="normal">D27-D28</f>
        <v>8278370777.560009</v>
      </c>
    </row>
  </sheetData>
  <autoFilter ref="A5:F21"/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64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3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52" width="8.42578112907261"/>
    <col customWidth="true" max="2" min="2" outlineLevel="0" style="3" width="41.1406253092569"/>
    <col customWidth="true" max="4" min="3" outlineLevel="0" style="3" width="23.5703138387917"/>
    <col customWidth="true" max="5" min="5" outlineLevel="0" style="3" width="18.0000003383324"/>
    <col customWidth="true" max="6" min="6" outlineLevel="0" style="3" width="16.9999994925015"/>
    <col customWidth="true" max="7" min="7" outlineLevel="0" style="3" width="21.5703121471299"/>
    <col customWidth="true" max="8" min="8" outlineLevel="0" style="3" width="51.1406256475893"/>
    <col customWidth="true" max="12" min="9" outlineLevel="0" style="3" width="15.4257809599064"/>
    <col bestFit="true" customWidth="true" max="16384" min="13" outlineLevel="0" style="3" width="9.14062530925693"/>
  </cols>
  <sheetData>
    <row customFormat="true" ht="20.25" outlineLevel="0" r="1" s="197">
      <c r="A1" s="198" t="s">
        <v>102</v>
      </c>
      <c r="B1" s="198" t="s"/>
      <c r="C1" s="198" t="s"/>
      <c r="D1" s="198" t="s"/>
      <c r="E1" s="198" t="s"/>
      <c r="F1" s="198" t="s"/>
      <c r="G1" s="227" t="n"/>
    </row>
    <row ht="19.5" outlineLevel="0" r="2">
      <c r="A2" s="199" t="s">
        <v>148</v>
      </c>
      <c r="B2" s="199" t="s"/>
      <c r="C2" s="199" t="s"/>
      <c r="D2" s="199" t="s"/>
      <c r="E2" s="199" t="s"/>
      <c r="F2" s="199" t="s"/>
      <c r="G2" s="228" t="n"/>
    </row>
    <row outlineLevel="0" r="4">
      <c r="A4" s="159" t="n"/>
      <c r="F4" s="200" t="s">
        <v>135</v>
      </c>
      <c r="G4" s="3" t="n">
        <v>20</v>
      </c>
    </row>
    <row customHeight="true" ht="81" outlineLevel="0" r="5">
      <c r="A5" s="53" t="s">
        <v>35</v>
      </c>
      <c r="B5" s="53" t="s">
        <v>2</v>
      </c>
      <c r="C5" s="53" t="s">
        <v>149</v>
      </c>
      <c r="D5" s="53" t="s">
        <v>150</v>
      </c>
      <c r="E5" s="53" t="s">
        <v>151</v>
      </c>
      <c r="F5" s="53" t="s">
        <v>140</v>
      </c>
      <c r="G5" s="229" t="s">
        <v>152</v>
      </c>
      <c r="H5" s="53" t="s">
        <v>2</v>
      </c>
      <c r="I5" s="53" t="s">
        <v>149</v>
      </c>
      <c r="J5" s="53" t="s">
        <v>150</v>
      </c>
      <c r="K5" s="53" t="s">
        <v>151</v>
      </c>
      <c r="L5" s="53" t="s">
        <v>140</v>
      </c>
    </row>
    <row outlineLevel="0" r="6">
      <c r="A6" s="212" t="n">
        <v>600</v>
      </c>
      <c r="B6" s="212" t="s">
        <v>51</v>
      </c>
      <c r="C6" s="230" t="n">
        <v>0</v>
      </c>
      <c r="D6" s="230" t="n">
        <v>3</v>
      </c>
      <c r="E6" s="219" t="n">
        <f aca="false" ca="false" dt2D="false" dtr="false" t="normal">ROUND(C6/D6, 2)</f>
        <v>0</v>
      </c>
      <c r="F6" s="231" t="str">
        <f aca="false" ca="false" dt2D="false" dtr="false" t="normal">IF(E6&gt;0, "0", "5")</f>
        <v>5</v>
      </c>
      <c r="G6" s="210" t="n"/>
      <c r="H6" s="103" t="s">
        <v>51</v>
      </c>
      <c r="I6" s="53" t="n"/>
      <c r="J6" s="53" t="n"/>
      <c r="K6" s="53" t="n"/>
      <c r="L6" s="53" t="n"/>
    </row>
    <row outlineLevel="0" r="7">
      <c r="A7" s="212" t="n">
        <v>601</v>
      </c>
      <c r="B7" s="212" t="s">
        <v>13</v>
      </c>
      <c r="C7" s="230" t="n">
        <v>0</v>
      </c>
      <c r="D7" s="230" t="n">
        <v>3</v>
      </c>
      <c r="E7" s="219" t="n">
        <f aca="false" ca="false" dt2D="false" dtr="false" t="normal">ROUND(C7/D7, 2)</f>
        <v>0</v>
      </c>
      <c r="F7" s="231" t="str">
        <f aca="false" ca="false" dt2D="false" dtr="false" t="normal">IF(E7&gt;0, "0", "5")</f>
        <v>5</v>
      </c>
      <c r="G7" s="46" t="n"/>
      <c r="H7" s="103" t="s">
        <v>13</v>
      </c>
      <c r="I7" s="232" t="n">
        <v>0</v>
      </c>
      <c r="J7" s="232" t="n">
        <v>3</v>
      </c>
      <c r="K7" s="233" t="n">
        <f aca="false" ca="false" dt2D="false" dtr="false" t="normal">ROUND(I7/J7, 2)</f>
        <v>0</v>
      </c>
      <c r="L7" s="233" t="n">
        <v>5</v>
      </c>
    </row>
    <row ht="30" outlineLevel="0" r="8">
      <c r="A8" s="212" t="n">
        <v>602</v>
      </c>
      <c r="B8" s="212" t="s">
        <v>53</v>
      </c>
      <c r="C8" s="230" t="n">
        <v>0</v>
      </c>
      <c r="D8" s="230" t="n">
        <v>3</v>
      </c>
      <c r="E8" s="219" t="n">
        <f aca="false" ca="false" dt2D="false" dtr="false" t="normal">ROUND(C8/D8, 2)</f>
        <v>0</v>
      </c>
      <c r="F8" s="231" t="str">
        <f aca="false" ca="false" dt2D="false" dtr="false" t="normal">IF(E8&gt;0, "0", "5")</f>
        <v>5</v>
      </c>
      <c r="G8" s="46" t="n"/>
      <c r="H8" s="103" t="s">
        <v>53</v>
      </c>
      <c r="I8" s="232" t="n">
        <v>0</v>
      </c>
      <c r="J8" s="232" t="n">
        <v>3</v>
      </c>
      <c r="K8" s="233" t="n">
        <f aca="false" ca="false" dt2D="false" dtr="false" t="normal">ROUND(I8/J8, 2)</f>
        <v>0</v>
      </c>
      <c r="L8" s="233" t="n">
        <v>0</v>
      </c>
    </row>
    <row ht="30" outlineLevel="0" r="9">
      <c r="A9" s="212" t="n">
        <v>604</v>
      </c>
      <c r="B9" s="212" t="s">
        <v>49</v>
      </c>
      <c r="C9" s="230" t="n">
        <v>0</v>
      </c>
      <c r="D9" s="230" t="n">
        <v>3</v>
      </c>
      <c r="E9" s="219" t="n">
        <f aca="false" ca="false" dt2D="false" dtr="false" t="normal">ROUND(C9/D9, 2)</f>
        <v>0</v>
      </c>
      <c r="F9" s="231" t="str">
        <f aca="false" ca="false" dt2D="false" dtr="false" t="normal">IF(E9&gt;0, "0", "5")</f>
        <v>5</v>
      </c>
      <c r="G9" s="46" t="n"/>
      <c r="H9" s="103" t="s">
        <v>49</v>
      </c>
      <c r="I9" s="232" t="n">
        <v>0</v>
      </c>
      <c r="J9" s="232" t="n">
        <v>3</v>
      </c>
      <c r="K9" s="233" t="n">
        <f aca="false" ca="false" dt2D="false" dtr="false" t="normal">ROUND(I9/J9, 2)</f>
        <v>0</v>
      </c>
      <c r="L9" s="233" t="n">
        <v>5</v>
      </c>
    </row>
    <row ht="45" outlineLevel="0" r="10">
      <c r="A10" s="212" t="n">
        <v>605</v>
      </c>
      <c r="B10" s="212" t="s">
        <v>45</v>
      </c>
      <c r="C10" s="230" t="n">
        <v>0</v>
      </c>
      <c r="D10" s="230" t="n">
        <v>3</v>
      </c>
      <c r="E10" s="219" t="n">
        <f aca="false" ca="false" dt2D="false" dtr="false" t="normal">ROUND(C10/D10, 2)</f>
        <v>0</v>
      </c>
      <c r="F10" s="231" t="str">
        <f aca="false" ca="false" dt2D="false" dtr="false" t="normal">IF(E10&gt;0, "0", "5")</f>
        <v>5</v>
      </c>
      <c r="G10" s="46" t="n"/>
      <c r="H10" s="103" t="s">
        <v>80</v>
      </c>
      <c r="I10" s="232" t="n">
        <v>0</v>
      </c>
      <c r="J10" s="232" t="n">
        <v>3</v>
      </c>
      <c r="K10" s="233" t="n">
        <f aca="false" ca="false" dt2D="false" dtr="false" t="normal">ROUND(I10/J10, 2)</f>
        <v>0</v>
      </c>
      <c r="L10" s="233" t="n">
        <v>5</v>
      </c>
    </row>
    <row ht="30" outlineLevel="0" r="11">
      <c r="A11" s="212" t="n">
        <v>606</v>
      </c>
      <c r="B11" s="212" t="s">
        <v>46</v>
      </c>
      <c r="C11" s="230" t="n">
        <v>0</v>
      </c>
      <c r="D11" s="230" t="n">
        <v>3</v>
      </c>
      <c r="E11" s="219" t="n">
        <f aca="false" ca="false" dt2D="false" dtr="false" t="normal">ROUND(C11/D11, 2)</f>
        <v>0</v>
      </c>
      <c r="F11" s="231" t="str">
        <f aca="false" ca="false" dt2D="false" dtr="false" t="normal">IF(E11&gt;0, "0", "5")</f>
        <v>5</v>
      </c>
      <c r="G11" s="234" t="n"/>
      <c r="H11" s="103" t="s">
        <v>46</v>
      </c>
      <c r="I11" s="232" t="n">
        <v>0</v>
      </c>
      <c r="J11" s="232" t="n">
        <v>3</v>
      </c>
      <c r="K11" s="233" t="n">
        <f aca="false" ca="false" dt2D="false" dtr="false" t="normal">ROUND(I11/J11, 2)</f>
        <v>0</v>
      </c>
      <c r="L11" s="233" t="n">
        <v>5</v>
      </c>
    </row>
    <row ht="30" outlineLevel="0" r="12">
      <c r="A12" s="212" t="n">
        <v>607</v>
      </c>
      <c r="B12" s="212" t="s">
        <v>50</v>
      </c>
      <c r="C12" s="230" t="n">
        <v>0</v>
      </c>
      <c r="D12" s="230" t="n">
        <v>3</v>
      </c>
      <c r="E12" s="219" t="n">
        <f aca="false" ca="false" dt2D="false" dtr="false" t="normal">ROUND(C12/D12, 2)</f>
        <v>0</v>
      </c>
      <c r="F12" s="231" t="str">
        <f aca="false" ca="false" dt2D="false" dtr="false" t="normal">IF(E12&gt;0, "0", "5")</f>
        <v>5</v>
      </c>
      <c r="G12" s="234" t="n"/>
      <c r="H12" s="103" t="s">
        <v>50</v>
      </c>
      <c r="I12" s="232" t="n">
        <v>0</v>
      </c>
      <c r="J12" s="232" t="n">
        <v>3</v>
      </c>
      <c r="K12" s="233" t="n">
        <f aca="false" ca="false" dt2D="false" dtr="false" t="normal">ROUND(I12/J12, 2)</f>
        <v>0</v>
      </c>
      <c r="L12" s="233" t="n">
        <v>5</v>
      </c>
    </row>
    <row ht="45" outlineLevel="0" r="13">
      <c r="A13" s="212" t="n">
        <v>609</v>
      </c>
      <c r="B13" s="212" t="s">
        <v>37</v>
      </c>
      <c r="C13" s="230" t="n">
        <v>0</v>
      </c>
      <c r="D13" s="230" t="n">
        <v>3</v>
      </c>
      <c r="E13" s="219" t="n">
        <f aca="false" ca="false" dt2D="false" dtr="false" t="normal">ROUND(C13/D13, 2)</f>
        <v>0</v>
      </c>
      <c r="F13" s="231" t="str">
        <f aca="false" ca="false" dt2D="false" dtr="false" t="normal">IF(E13&gt;0, "0", "5")</f>
        <v>5</v>
      </c>
      <c r="G13" s="234" t="n"/>
      <c r="H13" s="103" t="s">
        <v>37</v>
      </c>
      <c r="I13" s="232" t="n">
        <v>0</v>
      </c>
      <c r="J13" s="232" t="n">
        <v>3</v>
      </c>
      <c r="K13" s="233" t="n">
        <f aca="false" ca="false" dt2D="false" dtr="false" t="normal">ROUND(I13/J13, 2)</f>
        <v>0</v>
      </c>
      <c r="L13" s="233" t="n">
        <v>5</v>
      </c>
    </row>
    <row ht="30" outlineLevel="0" r="14">
      <c r="A14" s="212" t="n">
        <v>611</v>
      </c>
      <c r="B14" s="212" t="s">
        <v>47</v>
      </c>
      <c r="C14" s="230" t="n">
        <v>0</v>
      </c>
      <c r="D14" s="230" t="n">
        <v>3</v>
      </c>
      <c r="E14" s="219" t="n">
        <f aca="false" ca="false" dt2D="false" dtr="false" t="normal">ROUND(C14/D14, 2)</f>
        <v>0</v>
      </c>
      <c r="F14" s="231" t="str">
        <f aca="false" ca="false" dt2D="false" dtr="false" t="normal">IF(E14&gt;0, "0", "5")</f>
        <v>5</v>
      </c>
      <c r="G14" s="234" t="n"/>
      <c r="H14" s="103" t="s">
        <v>47</v>
      </c>
      <c r="I14" s="232" t="n">
        <v>0</v>
      </c>
      <c r="J14" s="232" t="n">
        <v>3</v>
      </c>
      <c r="K14" s="233" t="n">
        <f aca="false" ca="false" dt2D="false" dtr="false" t="normal">ROUND(I14/J14, 2)</f>
        <v>0</v>
      </c>
      <c r="L14" s="233" t="n">
        <v>5</v>
      </c>
    </row>
    <row ht="30" outlineLevel="0" r="15">
      <c r="A15" s="212" t="n">
        <v>617</v>
      </c>
      <c r="B15" s="212" t="s">
        <v>42</v>
      </c>
      <c r="C15" s="230" t="n">
        <v>0</v>
      </c>
      <c r="D15" s="230" t="n">
        <v>3</v>
      </c>
      <c r="E15" s="219" t="n">
        <f aca="false" ca="false" dt2D="false" dtr="false" t="normal">ROUND(C15/D15, 2)</f>
        <v>0</v>
      </c>
      <c r="F15" s="231" t="str">
        <f aca="false" ca="false" dt2D="false" dtr="false" t="normal">IF(E15&gt;0, "0", "5")</f>
        <v>5</v>
      </c>
      <c r="G15" s="234" t="n"/>
      <c r="H15" s="103" t="s">
        <v>42</v>
      </c>
      <c r="I15" s="232" t="n">
        <v>0</v>
      </c>
      <c r="J15" s="232" t="n">
        <v>3</v>
      </c>
      <c r="K15" s="233" t="n">
        <f aca="false" ca="false" dt2D="false" dtr="false" t="normal">ROUND(I15/J15, 2)</f>
        <v>0</v>
      </c>
      <c r="L15" s="233" t="n">
        <v>5</v>
      </c>
    </row>
    <row ht="30" outlineLevel="0" r="16">
      <c r="A16" s="212" t="n">
        <v>618</v>
      </c>
      <c r="B16" s="212" t="s">
        <v>38</v>
      </c>
      <c r="C16" s="230" t="n">
        <v>0</v>
      </c>
      <c r="D16" s="230" t="n">
        <v>3</v>
      </c>
      <c r="E16" s="219" t="n">
        <f aca="false" ca="false" dt2D="false" dtr="false" t="normal">ROUND(C16/D16, 2)</f>
        <v>0</v>
      </c>
      <c r="F16" s="231" t="str">
        <f aca="false" ca="false" dt2D="false" dtr="false" t="normal">IF(E16&gt;0, "0", "5")</f>
        <v>5</v>
      </c>
      <c r="G16" s="234" t="n"/>
      <c r="H16" s="103" t="s">
        <v>38</v>
      </c>
      <c r="I16" s="232" t="n">
        <v>0</v>
      </c>
      <c r="J16" s="232" t="n">
        <v>3</v>
      </c>
      <c r="K16" s="233" t="n">
        <f aca="false" ca="false" dt2D="false" dtr="false" t="normal">ROUND(I16/J16, 2)</f>
        <v>0</v>
      </c>
      <c r="L16" s="233" t="n">
        <v>5</v>
      </c>
    </row>
    <row ht="30" outlineLevel="0" r="17">
      <c r="A17" s="212" t="n">
        <v>619</v>
      </c>
      <c r="B17" s="212" t="s">
        <v>44</v>
      </c>
      <c r="C17" s="230" t="n">
        <v>0</v>
      </c>
      <c r="D17" s="230" t="n">
        <v>3</v>
      </c>
      <c r="E17" s="219" t="n">
        <f aca="false" ca="false" dt2D="false" dtr="false" t="normal">ROUND(C17/D17, 2)</f>
        <v>0</v>
      </c>
      <c r="F17" s="231" t="str">
        <f aca="false" ca="false" dt2D="false" dtr="false" t="normal">IF(E17&gt;0, "0", "5")</f>
        <v>5</v>
      </c>
      <c r="G17" s="234" t="n"/>
      <c r="H17" s="103" t="s">
        <v>44</v>
      </c>
      <c r="I17" s="232" t="n">
        <v>0</v>
      </c>
      <c r="J17" s="232" t="n">
        <v>3</v>
      </c>
      <c r="K17" s="233" t="n">
        <f aca="false" ca="false" dt2D="false" dtr="false" t="normal">ROUND(I17/J17, 2)</f>
        <v>0</v>
      </c>
      <c r="L17" s="233" t="n">
        <v>5</v>
      </c>
    </row>
    <row ht="30" outlineLevel="0" r="18">
      <c r="A18" s="212" t="n">
        <v>620</v>
      </c>
      <c r="B18" s="212" t="s">
        <v>48</v>
      </c>
      <c r="C18" s="230" t="n">
        <v>0</v>
      </c>
      <c r="D18" s="230" t="n">
        <v>3</v>
      </c>
      <c r="E18" s="219" t="n">
        <f aca="false" ca="false" dt2D="false" dtr="false" t="normal">ROUND(C18/D18, 2)</f>
        <v>0</v>
      </c>
      <c r="F18" s="231" t="str">
        <f aca="false" ca="false" dt2D="false" dtr="false" t="normal">IF(E18&gt;0, "0", "5")</f>
        <v>5</v>
      </c>
      <c r="G18" s="234" t="n"/>
      <c r="H18" s="103" t="s">
        <v>48</v>
      </c>
      <c r="I18" s="232" t="n">
        <v>0</v>
      </c>
      <c r="J18" s="232" t="n">
        <v>3</v>
      </c>
      <c r="K18" s="233" t="n">
        <f aca="false" ca="false" dt2D="false" dtr="false" t="normal">ROUND(I18/J18, 2)</f>
        <v>0</v>
      </c>
      <c r="L18" s="233" t="n">
        <v>5</v>
      </c>
    </row>
    <row ht="30" outlineLevel="0" r="19">
      <c r="A19" s="212" t="n">
        <v>621</v>
      </c>
      <c r="B19" s="212" t="s">
        <v>54</v>
      </c>
      <c r="C19" s="230" t="n">
        <v>0</v>
      </c>
      <c r="D19" s="230" t="n">
        <v>3</v>
      </c>
      <c r="E19" s="219" t="n">
        <f aca="false" ca="false" dt2D="false" dtr="false" t="normal">ROUND(C19/D19, 2)</f>
        <v>0</v>
      </c>
      <c r="F19" s="231" t="str">
        <f aca="false" ca="false" dt2D="false" dtr="false" t="normal">IF(E19&gt;0, "0", "5")</f>
        <v>5</v>
      </c>
      <c r="G19" s="234" t="n"/>
      <c r="H19" s="103" t="s">
        <v>54</v>
      </c>
      <c r="I19" s="232" t="n">
        <v>0</v>
      </c>
      <c r="J19" s="232" t="n">
        <v>3</v>
      </c>
      <c r="K19" s="233" t="n">
        <f aca="false" ca="false" dt2D="false" dtr="false" t="normal">ROUND(I19/J19, 2)</f>
        <v>0</v>
      </c>
      <c r="L19" s="233" t="n">
        <v>0</v>
      </c>
    </row>
    <row ht="45" outlineLevel="0" r="20">
      <c r="A20" s="212" t="n">
        <v>624</v>
      </c>
      <c r="B20" s="212" t="s">
        <v>40</v>
      </c>
      <c r="C20" s="230" t="n">
        <v>0</v>
      </c>
      <c r="D20" s="230" t="n">
        <v>3</v>
      </c>
      <c r="E20" s="219" t="n">
        <f aca="false" ca="false" dt2D="false" dtr="false" t="normal">ROUND(C20/D20, 2)</f>
        <v>0</v>
      </c>
      <c r="F20" s="231" t="str">
        <f aca="false" ca="false" dt2D="false" dtr="false" t="normal">IF(E20&gt;0, "0", "5")</f>
        <v>5</v>
      </c>
      <c r="G20" s="234" t="n"/>
      <c r="H20" s="103" t="s">
        <v>40</v>
      </c>
      <c r="I20" s="232" t="n">
        <v>0</v>
      </c>
      <c r="J20" s="232" t="n">
        <v>3</v>
      </c>
      <c r="K20" s="233" t="n">
        <f aca="false" ca="false" dt2D="false" dtr="false" t="normal">ROUND(I20/J20, 2)</f>
        <v>0</v>
      </c>
      <c r="L20" s="233" t="n">
        <v>5</v>
      </c>
    </row>
    <row ht="30" outlineLevel="0" r="21">
      <c r="A21" s="212" t="n">
        <v>643</v>
      </c>
      <c r="B21" s="212" t="s">
        <v>52</v>
      </c>
      <c r="C21" s="230" t="n">
        <v>0</v>
      </c>
      <c r="D21" s="230" t="n">
        <v>3</v>
      </c>
      <c r="E21" s="219" t="n">
        <f aca="false" ca="false" dt2D="false" dtr="false" t="normal">ROUND(C21/D21, 2)</f>
        <v>0</v>
      </c>
      <c r="F21" s="231" t="str">
        <f aca="false" ca="false" dt2D="false" dtr="false" t="normal">IF(E21&gt;0, "0", "5")</f>
        <v>5</v>
      </c>
      <c r="G21" s="234" t="n"/>
      <c r="H21" s="103" t="s">
        <v>52</v>
      </c>
      <c r="I21" s="232" t="n"/>
      <c r="J21" s="232" t="n"/>
      <c r="K21" s="233" t="n"/>
      <c r="L21" s="233" t="n"/>
    </row>
    <row outlineLevel="0" r="22">
      <c r="A22" s="57" t="n"/>
      <c r="B22" s="57" t="n"/>
      <c r="C22" s="206" t="n"/>
      <c r="D22" s="206" t="n"/>
      <c r="E22" s="161" t="n"/>
      <c r="F22" s="161" t="n"/>
    </row>
    <row outlineLevel="0" r="23">
      <c r="A23" s="57" t="n"/>
      <c r="B23" s="57" t="s">
        <v>23</v>
      </c>
      <c r="C23" s="206" t="n"/>
      <c r="D23" s="206" t="n"/>
      <c r="E23" s="161" t="n">
        <f aca="false" ca="true" dt2D="false" dtr="false" t="normal">SUBTOTAL(9, E7:E20)</f>
        <v>0</v>
      </c>
      <c r="F23" s="161" t="n"/>
    </row>
    <row customFormat="true" ht="14.25" outlineLevel="0" r="24" s="158">
      <c r="A24" s="60" t="n"/>
      <c r="B24" s="60" t="s">
        <v>24</v>
      </c>
      <c r="C24" s="207" t="n"/>
      <c r="D24" s="207" t="n"/>
      <c r="E24" s="173" t="n">
        <f aca="false" ca="false" dt2D="false" dtr="false" t="normal">ROUND(E23/16, 2)</f>
        <v>0</v>
      </c>
      <c r="F24" s="173" t="n"/>
    </row>
    <row outlineLevel="0" r="26">
      <c r="E26" s="4" t="n"/>
      <c r="F26" s="4" t="n"/>
    </row>
    <row outlineLevel="0" r="27">
      <c r="C27" s="4" t="n">
        <f aca="false" ca="false" dt2D="false" dtr="false" t="normal">SUM(C7:C26)</f>
        <v>0</v>
      </c>
      <c r="D27" s="4" t="n">
        <f aca="false" ca="false" dt2D="false" dtr="false" t="normal">SUM(D7:D26)</f>
        <v>45</v>
      </c>
      <c r="E27" s="4" t="n">
        <f aca="false" ca="false" dt2D="false" dtr="false" t="normal">SUM(E7:E26)</f>
        <v>0</v>
      </c>
      <c r="F27" s="4" t="n">
        <f aca="false" ca="false" dt2D="false" dtr="false" t="normal">SUM(F7:F26)</f>
        <v>0</v>
      </c>
    </row>
    <row outlineLevel="0" r="28">
      <c r="C28" s="4" t="n">
        <v>9942990074.7</v>
      </c>
      <c r="D28" s="4" t="n">
        <v>10781317603.27</v>
      </c>
      <c r="E28" s="4" t="n">
        <v>65659321.6</v>
      </c>
      <c r="F28" s="4" t="n">
        <f aca="false" ca="false" dt2D="false" dtr="false" t="normal">D28-E28</f>
        <v>10715658281.669994</v>
      </c>
    </row>
    <row outlineLevel="0" r="29">
      <c r="C29" s="4" t="n">
        <f aca="false" ca="false" dt2D="false" dtr="false" t="normal">C27-C28</f>
        <v>-9942990074.699997</v>
      </c>
      <c r="D29" s="4" t="n">
        <f aca="false" ca="false" dt2D="false" dtr="false" t="normal">D27-D28</f>
        <v>-10781317558.269995</v>
      </c>
      <c r="E29" s="4" t="n">
        <f aca="false" ca="false" dt2D="false" dtr="false" t="normal">E27-E28</f>
        <v>-65659321.6</v>
      </c>
      <c r="F29" s="4" t="n">
        <f aca="false" ca="false" dt2D="false" dtr="false" t="normal">F27-F28</f>
        <v>-10715658281.669994</v>
      </c>
    </row>
    <row outlineLevel="0" r="30">
      <c r="E30" s="235" t="n"/>
    </row>
    <row outlineLevel="0" r="31">
      <c r="E31" s="4" t="n"/>
    </row>
    <row outlineLevel="0" r="32">
      <c r="E32" s="4" t="n"/>
    </row>
    <row outlineLevel="0" r="33">
      <c r="E33" s="4" t="n"/>
    </row>
    <row outlineLevel="0" r="34">
      <c r="E34" s="4" t="n"/>
    </row>
    <row outlineLevel="0" r="37">
      <c r="B37" s="3" t="n">
        <v>2018</v>
      </c>
      <c r="C37" s="4" t="n">
        <v>9942990074.7</v>
      </c>
    </row>
  </sheetData>
  <autoFilter ref="A5:G21"/>
  <mergeCells count="2">
    <mergeCell ref="A1:F1"/>
    <mergeCell ref="A2:F2"/>
  </mergeCells>
  <pageMargins bottom="0.748031497001648" footer="0.31496062874794" header="0.31496062874794" left="0.354330688714981" right="0.196850389242172" top="0.748031497001648"/>
  <pageSetup fitToHeight="1" fitToWidth="1" orientation="portrait" paperHeight="297mm" paperSize="9" paperWidth="210mm" scale="56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MyOffice-CoreFramework-Linux/32-1208.815.9166.836.1@c028b4579ab889516ede6e689f46f6dad43bf900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2024-05-15T08:01:55Z</dcterms:modified>
</cp:coreProperties>
</file>